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BUS-04\Desktop\"/>
    </mc:Choice>
  </mc:AlternateContent>
  <xr:revisionPtr revIDLastSave="0" documentId="13_ncr:1_{B127D651-2F95-4B9D-935D-5E10B28ED073}" xr6:coauthVersionLast="47" xr6:coauthVersionMax="47" xr10:uidLastSave="{00000000-0000-0000-0000-000000000000}"/>
  <bookViews>
    <workbookView xWindow="-120" yWindow="-120" windowWidth="29040" windowHeight="15720" xr2:uid="{00000000-000D-0000-FFFF-FFFF00000000}"/>
  </bookViews>
  <sheets>
    <sheet name="使用上の注意点" sheetId="6" r:id="rId1"/>
    <sheet name="時間入力シート" sheetId="1" r:id="rId2"/>
    <sheet name="時刻入力シート" sheetId="7" r:id="rId3"/>
    <sheet name="公示運賃ｼｰﾄ" sheetId="5" r:id="rId4"/>
  </sheets>
  <definedNames>
    <definedName name="_xlnm.Print_Area" localSheetId="0">使用上の注意点!$A$1:$L$71</definedName>
    <definedName name="_xlnm.Print_Area" localSheetId="1">時間入力シート!$A$1:$AV$131</definedName>
    <definedName name="_xlnm.Print_Area" localSheetId="2">時刻入力シート!$A$1:$AX$115</definedName>
    <definedName name="沖縄">公示運賃ｼｰﾄ!$AE$17:$AH$19</definedName>
    <definedName name="沖縄K">公示運賃ｼｰﾄ!$AE$14:$AH$16</definedName>
    <definedName name="沖縄交">公示運賃ｼｰﾄ!$AG$20:$AH$21</definedName>
    <definedName name="関東">公示運賃ｼｰﾄ!$Q$5:$T$7</definedName>
    <definedName name="関東K">公示運賃ｼｰﾄ!$Q$2:$T$4</definedName>
    <definedName name="関東交">公示運賃ｼｰﾄ!$S$8:$T$9</definedName>
    <definedName name="近畿">公示運賃ｼｰﾄ!$C$17:$F$19</definedName>
    <definedName name="近畿K">公示運賃ｼｰﾄ!$C$14:$F$16</definedName>
    <definedName name="近畿交">公示運賃ｼｰﾄ!$E$20:$F$21</definedName>
    <definedName name="九州">公示運賃ｼｰﾄ!$X$17:$AA$19</definedName>
    <definedName name="九州K">公示運賃ｼｰﾄ!$X$14:$AA$16</definedName>
    <definedName name="九州交">公示運賃ｼｰﾄ!$Z$20:$AA$21</definedName>
    <definedName name="四国">公示運賃ｼｰﾄ!$Q$17:$T$19</definedName>
    <definedName name="四国K">公示運賃ｼｰﾄ!$Q$14:$T$16</definedName>
    <definedName name="四国交">公示運賃ｼｰﾄ!$S$20:$T$21</definedName>
    <definedName name="中国">公示運賃ｼｰﾄ!$J$17:$M$19</definedName>
    <definedName name="中国K">公示運賃ｼｰﾄ!$J$14:$M$16</definedName>
    <definedName name="中国交">公示運賃ｼｰﾄ!$L$20:$M$21</definedName>
    <definedName name="中部">公示運賃ｼｰﾄ!$AE$5:$AH$7</definedName>
    <definedName name="中部K">公示運賃ｼｰﾄ!$AE$2:$AH$4</definedName>
    <definedName name="中部交">公示運賃ｼｰﾄ!$AG$8:$AH$9</definedName>
    <definedName name="東北">公示運賃ｼｰﾄ!$J$5:$M$7</definedName>
    <definedName name="東北K">公示運賃ｼｰﾄ!$J$2:$M$4</definedName>
    <definedName name="東北交">公示運賃ｼｰﾄ!$L$8:$M$9</definedName>
    <definedName name="北海道">公示運賃ｼｰﾄ!$C$5:$F$7</definedName>
    <definedName name="北海道K">公示運賃ｼｰﾄ!$C$2:$F$4</definedName>
    <definedName name="北海道交">公示運賃ｼｰﾄ!$E$8:$F$9</definedName>
    <definedName name="北陸">公示運賃ｼｰﾄ!$X$5:$AA$7</definedName>
    <definedName name="北陸K">公示運賃ｼｰﾄ!$X$2:$AA$4</definedName>
    <definedName name="北陸交">公示運賃ｼｰﾄ!$Z$8:$AA$9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96" i="7" l="1"/>
  <c r="W82" i="7"/>
  <c r="Z96" i="7" l="1"/>
  <c r="V96" i="7"/>
  <c r="Q96" i="7"/>
  <c r="M96" i="7"/>
  <c r="W95" i="7"/>
  <c r="R95" i="7"/>
  <c r="N95" i="7"/>
  <c r="J95" i="7"/>
  <c r="AH93" i="7"/>
  <c r="Z93" i="7"/>
  <c r="V93" i="7"/>
  <c r="Q93" i="7"/>
  <c r="M93" i="7"/>
  <c r="W92" i="7"/>
  <c r="R92" i="7"/>
  <c r="N92" i="7"/>
  <c r="J92" i="7"/>
  <c r="M90" i="7"/>
  <c r="G90" i="7"/>
  <c r="M88" i="7"/>
  <c r="G88" i="7"/>
  <c r="N87" i="7"/>
  <c r="J87" i="7"/>
  <c r="O82" i="7"/>
  <c r="L82" i="7"/>
  <c r="K82" i="7"/>
  <c r="W81" i="7"/>
  <c r="O81" i="7"/>
  <c r="L81" i="7"/>
  <c r="K81" i="7"/>
  <c r="C80" i="7"/>
  <c r="W79" i="7"/>
  <c r="O79" i="7"/>
  <c r="L79" i="7"/>
  <c r="K79" i="7"/>
  <c r="W78" i="7"/>
  <c r="O78" i="7"/>
  <c r="L78" i="7"/>
  <c r="K78" i="7"/>
  <c r="L77" i="7"/>
  <c r="G77" i="7"/>
  <c r="C76" i="7"/>
  <c r="S75" i="7"/>
  <c r="P75" i="7"/>
  <c r="O75" i="7"/>
  <c r="J75" i="7"/>
  <c r="Q74" i="7"/>
  <c r="M74" i="7"/>
  <c r="AD52" i="7"/>
  <c r="AI51" i="7"/>
  <c r="AA51" i="7"/>
  <c r="X51" i="7"/>
  <c r="W51" i="7"/>
  <c r="I51" i="7"/>
  <c r="U49" i="7"/>
  <c r="Q49" i="7"/>
  <c r="P49" i="7"/>
  <c r="Q48" i="7"/>
  <c r="L48" i="7"/>
  <c r="I48" i="7"/>
  <c r="T37" i="7"/>
  <c r="R37" i="7" s="1"/>
  <c r="BY31" i="7"/>
  <c r="CJ29" i="7"/>
  <c r="BP29" i="7" s="1"/>
  <c r="CF29" i="7"/>
  <c r="CN29" i="7" s="1"/>
  <c r="BY29" i="7" s="1"/>
  <c r="BU29" i="7" s="1"/>
  <c r="AB29" i="7"/>
  <c r="G29" i="7"/>
  <c r="AI29" i="7" s="1"/>
  <c r="CJ27" i="7"/>
  <c r="BP27" i="7" s="1"/>
  <c r="CF27" i="7"/>
  <c r="CN27" i="7" s="1"/>
  <c r="BY27" i="7" s="1"/>
  <c r="BU27" i="7" s="1"/>
  <c r="AB27" i="7"/>
  <c r="G27" i="7"/>
  <c r="CJ25" i="7"/>
  <c r="BP25" i="7" s="1"/>
  <c r="CF25" i="7"/>
  <c r="AB25" i="7"/>
  <c r="G25" i="7"/>
  <c r="W24" i="7"/>
  <c r="CJ23" i="7"/>
  <c r="CF23" i="7"/>
  <c r="CN23" i="7" s="1"/>
  <c r="BY23" i="7" s="1"/>
  <c r="BU23" i="7" s="1"/>
  <c r="BR23" i="7" s="1"/>
  <c r="AI23" i="7"/>
  <c r="AB23" i="7"/>
  <c r="G23" i="7"/>
  <c r="AF23" i="7" s="1"/>
  <c r="CN21" i="7"/>
  <c r="BY21" i="7" s="1"/>
  <c r="BU21" i="7" s="1"/>
  <c r="CJ21" i="7"/>
  <c r="BP21" i="7" s="1"/>
  <c r="CF21" i="7"/>
  <c r="AB21" i="7"/>
  <c r="AF21" i="7" s="1"/>
  <c r="G21" i="7"/>
  <c r="CJ19" i="7"/>
  <c r="BP19" i="7" s="1"/>
  <c r="CF19" i="7"/>
  <c r="AB19" i="7"/>
  <c r="G19" i="7"/>
  <c r="CJ17" i="7"/>
  <c r="CF17" i="7"/>
  <c r="AI17" i="7"/>
  <c r="AB17" i="7"/>
  <c r="G17" i="7"/>
  <c r="CJ15" i="7"/>
  <c r="CF15" i="7"/>
  <c r="BP15" i="7"/>
  <c r="AF15" i="7"/>
  <c r="AB15" i="7"/>
  <c r="G15" i="7"/>
  <c r="AI15" i="7" s="1"/>
  <c r="CJ13" i="7"/>
  <c r="CF13" i="7"/>
  <c r="AB13" i="7"/>
  <c r="G13" i="7"/>
  <c r="CJ11" i="7"/>
  <c r="CF11" i="7"/>
  <c r="AB11" i="7"/>
  <c r="G11" i="7"/>
  <c r="BD5" i="7"/>
  <c r="J90" i="7"/>
  <c r="N90" i="7"/>
  <c r="N35" i="7"/>
  <c r="J88" i="7"/>
  <c r="N88" i="7"/>
  <c r="R35" i="7"/>
  <c r="CN13" i="7" l="1"/>
  <c r="BY13" i="7" s="1"/>
  <c r="BU13" i="7" s="1"/>
  <c r="CC13" i="7" s="1"/>
  <c r="CN11" i="7"/>
  <c r="BY11" i="7" s="1"/>
  <c r="BU11" i="7" s="1"/>
  <c r="BR11" i="7" s="1"/>
  <c r="BR29" i="7"/>
  <c r="CC29" i="7"/>
  <c r="AF29" i="7"/>
  <c r="W16" i="7"/>
  <c r="CN17" i="7"/>
  <c r="BY17" i="7" s="1"/>
  <c r="BU17" i="7" s="1"/>
  <c r="BR17" i="7" s="1"/>
  <c r="W30" i="7"/>
  <c r="CC23" i="7"/>
  <c r="CN15" i="7"/>
  <c r="BY15" i="7" s="1"/>
  <c r="BU15" i="7" s="1"/>
  <c r="CC15" i="7" s="1"/>
  <c r="Y46" i="7"/>
  <c r="J96" i="7"/>
  <c r="R96" i="7"/>
  <c r="U44" i="7"/>
  <c r="U46" i="7"/>
  <c r="J93" i="7"/>
  <c r="R93" i="7"/>
  <c r="AN21" i="7"/>
  <c r="AQ21" i="7"/>
  <c r="BR21" i="7"/>
  <c r="CC21" i="7"/>
  <c r="BR27" i="7"/>
  <c r="CC27" i="7"/>
  <c r="W22" i="7"/>
  <c r="W26" i="7"/>
  <c r="AF25" i="7"/>
  <c r="AI27" i="7"/>
  <c r="W28" i="7"/>
  <c r="AF27" i="7"/>
  <c r="BR15" i="7"/>
  <c r="BP17" i="7"/>
  <c r="W93" i="7"/>
  <c r="AQ15" i="7"/>
  <c r="AN15" i="7"/>
  <c r="W18" i="7"/>
  <c r="AF17" i="7"/>
  <c r="AI19" i="7"/>
  <c r="W20" i="7"/>
  <c r="AF19" i="7"/>
  <c r="CN19" i="7"/>
  <c r="BY19" i="7" s="1"/>
  <c r="BU19" i="7" s="1"/>
  <c r="BP23" i="7"/>
  <c r="AI25" i="7"/>
  <c r="CN25" i="7"/>
  <c r="BY25" i="7" s="1"/>
  <c r="BU25" i="7" s="1"/>
  <c r="AQ23" i="7"/>
  <c r="AN23" i="7"/>
  <c r="AI21" i="7"/>
  <c r="Y44" i="7"/>
  <c r="Q38" i="7"/>
  <c r="W96" i="7"/>
  <c r="W37" i="7"/>
  <c r="AH112" i="1"/>
  <c r="N9" i="7"/>
  <c r="S9" i="7"/>
  <c r="R36" i="1"/>
  <c r="BR13" i="7" l="1"/>
  <c r="BP13" i="7"/>
  <c r="AF13" i="7" s="1"/>
  <c r="AQ13" i="7" s="1"/>
  <c r="CC11" i="7"/>
  <c r="BP11" i="7"/>
  <c r="W12" i="7" s="1"/>
  <c r="AI13" i="7"/>
  <c r="W14" i="7"/>
  <c r="AN29" i="7"/>
  <c r="AQ29" i="7"/>
  <c r="CC17" i="7"/>
  <c r="K44" i="7"/>
  <c r="K46" i="7"/>
  <c r="AQ27" i="7"/>
  <c r="AN27" i="7"/>
  <c r="BR19" i="7"/>
  <c r="CC19" i="7"/>
  <c r="AQ17" i="7"/>
  <c r="AN17" i="7"/>
  <c r="AF11" i="7"/>
  <c r="CC25" i="7"/>
  <c r="BR25" i="7"/>
  <c r="AQ19" i="7"/>
  <c r="AN19" i="7"/>
  <c r="AQ25" i="7"/>
  <c r="AN25" i="7"/>
  <c r="AN13" i="7" l="1"/>
  <c r="AQ11" i="7"/>
  <c r="AN11" i="7"/>
  <c r="AD32" i="7"/>
  <c r="AI11" i="7"/>
  <c r="AF31" i="7" s="1"/>
  <c r="S88" i="1"/>
  <c r="AQ31" i="7" l="1"/>
  <c r="AT70" i="7" s="1"/>
  <c r="N96" i="7"/>
  <c r="O46" i="7"/>
  <c r="N93" i="7"/>
  <c r="AF46" i="7"/>
  <c r="O44" i="7"/>
  <c r="AF44" i="7" s="1"/>
  <c r="AA96" i="7"/>
  <c r="AK111" i="7" s="1"/>
  <c r="AA93" i="7"/>
  <c r="AK103" i="7" s="1"/>
  <c r="AW4" i="1"/>
  <c r="R9" i="1"/>
  <c r="C56" i="7" l="1"/>
  <c r="U56" i="7"/>
  <c r="AH70" i="7"/>
  <c r="AT63" i="7"/>
  <c r="U63" i="7"/>
  <c r="AI63" i="7" s="1"/>
  <c r="AN60" i="7"/>
  <c r="M70" i="7"/>
  <c r="J59" i="7"/>
  <c r="Z59" i="7"/>
  <c r="K54" i="7"/>
  <c r="U66" i="7"/>
  <c r="AI66" i="7" s="1"/>
  <c r="AB66" i="7"/>
  <c r="M62" i="7"/>
  <c r="AB70" i="7"/>
  <c r="Y69" i="7"/>
  <c r="Y62" i="7"/>
  <c r="Z67" i="7"/>
  <c r="M67" i="7"/>
  <c r="J55" i="7"/>
  <c r="AT67" i="7"/>
  <c r="AN63" i="7"/>
  <c r="M59" i="7"/>
  <c r="AB67" i="7"/>
  <c r="Z69" i="7"/>
  <c r="Z63" i="7"/>
  <c r="AH63" i="7"/>
  <c r="AC66" i="7"/>
  <c r="Y56" i="7"/>
  <c r="Y67" i="7"/>
  <c r="F55" i="7"/>
  <c r="J60" i="7"/>
  <c r="Y66" i="7"/>
  <c r="Y70" i="7"/>
  <c r="M63" i="7"/>
  <c r="AN70" i="7"/>
  <c r="U62" i="7"/>
  <c r="AI62" i="7" s="1"/>
  <c r="AO63" i="7" s="1"/>
  <c r="C58" i="7"/>
  <c r="L56" i="7"/>
  <c r="AH69" i="7"/>
  <c r="AH67" i="7"/>
  <c r="AH62" i="7"/>
  <c r="AC56" i="7"/>
  <c r="U70" i="7"/>
  <c r="AC69" i="7"/>
  <c r="Y60" i="7"/>
  <c r="Z66" i="7"/>
  <c r="J69" i="7"/>
  <c r="AC70" i="7"/>
  <c r="AN67" i="7"/>
  <c r="I56" i="7"/>
  <c r="AC63" i="7"/>
  <c r="AC62" i="7"/>
  <c r="AT60" i="7"/>
  <c r="M66" i="7"/>
  <c r="Z62" i="7"/>
  <c r="Z70" i="7"/>
  <c r="AC59" i="7"/>
  <c r="AC67" i="7"/>
  <c r="AB60" i="7"/>
  <c r="H56" i="7"/>
  <c r="AB62" i="7"/>
  <c r="J63" i="7"/>
  <c r="AB59" i="7"/>
  <c r="C65" i="7"/>
  <c r="AC60" i="7"/>
  <c r="M69" i="7"/>
  <c r="Y59" i="7"/>
  <c r="Z60" i="7"/>
  <c r="AB69" i="7"/>
  <c r="AH66" i="7"/>
  <c r="AH59" i="7"/>
  <c r="U60" i="7"/>
  <c r="AI60" i="7" s="1"/>
  <c r="J62" i="7"/>
  <c r="J70" i="7"/>
  <c r="U59" i="7"/>
  <c r="U67" i="7"/>
  <c r="J66" i="7"/>
  <c r="AB63" i="7"/>
  <c r="J67" i="7"/>
  <c r="Y63" i="7"/>
  <c r="AH60" i="7"/>
  <c r="M60" i="7"/>
  <c r="U69" i="7"/>
  <c r="AI69" i="7" s="1"/>
  <c r="AI67" i="7"/>
  <c r="AI59" i="7"/>
  <c r="O51" i="7"/>
  <c r="L49" i="7"/>
  <c r="V49" i="7" s="1"/>
  <c r="AB51" i="7" s="1"/>
  <c r="F82" i="7"/>
  <c r="P82" i="7" s="1"/>
  <c r="AD111" i="7" s="1"/>
  <c r="F79" i="7"/>
  <c r="P79" i="7" s="1"/>
  <c r="R111" i="7"/>
  <c r="AQ32" i="1"/>
  <c r="AI70" i="7" l="1"/>
  <c r="AO70" i="7" s="1"/>
  <c r="X111" i="7" s="1"/>
  <c r="L107" i="7" s="1"/>
  <c r="AO60" i="7"/>
  <c r="X103" i="7" s="1"/>
  <c r="AO67" i="7"/>
  <c r="D68" i="1"/>
  <c r="S66" i="1"/>
  <c r="F78" i="7"/>
  <c r="P78" i="7" s="1"/>
  <c r="AD103" i="7" s="1"/>
  <c r="F81" i="7"/>
  <c r="P81" i="7" s="1"/>
  <c r="R103" i="7"/>
  <c r="R66" i="1"/>
  <c r="AA66" i="1"/>
  <c r="U68" i="1"/>
  <c r="U66" i="1"/>
  <c r="R68" i="1"/>
  <c r="H66" i="1"/>
  <c r="AH68" i="1"/>
  <c r="V68" i="1"/>
  <c r="AA68" i="1"/>
  <c r="V66" i="1"/>
  <c r="S68" i="1"/>
  <c r="AB30" i="1"/>
  <c r="AB28" i="1"/>
  <c r="AF30" i="1"/>
  <c r="AF28" i="1"/>
  <c r="AB26" i="1"/>
  <c r="AB24" i="1"/>
  <c r="AB22" i="1"/>
  <c r="AB20" i="1"/>
  <c r="AB18" i="1"/>
  <c r="AB16" i="1"/>
  <c r="AF26" i="1"/>
  <c r="AF24" i="1"/>
  <c r="AF22" i="1"/>
  <c r="AF20" i="1"/>
  <c r="AF18" i="1"/>
  <c r="AB14" i="1"/>
  <c r="V23" i="1"/>
  <c r="V21" i="1"/>
  <c r="V19" i="1"/>
  <c r="V31" i="1"/>
  <c r="V29" i="1"/>
  <c r="V27" i="1"/>
  <c r="V25" i="1"/>
  <c r="L109" i="7" l="1"/>
  <c r="L111" i="7" s="1"/>
  <c r="L99" i="7"/>
  <c r="L101" i="7" l="1"/>
  <c r="L103" i="7" s="1"/>
  <c r="B115" i="7" l="1"/>
  <c r="Q114" i="7"/>
  <c r="K114" i="7"/>
  <c r="B114" i="7"/>
  <c r="AF92" i="1"/>
  <c r="P97" i="1"/>
  <c r="S97" i="1"/>
  <c r="O97" i="1"/>
  <c r="AP96" i="1"/>
  <c r="AI96" i="1"/>
  <c r="AH96" i="1"/>
  <c r="AE96" i="1"/>
  <c r="AB53" i="1" l="1"/>
  <c r="I55" i="1" l="1"/>
  <c r="O57" i="1"/>
  <c r="Z112" i="1"/>
  <c r="V112" i="1"/>
  <c r="Q112" i="1"/>
  <c r="M112" i="1"/>
  <c r="AH52" i="1" l="1"/>
  <c r="AA52" i="1"/>
  <c r="X52" i="1"/>
  <c r="W52" i="1"/>
  <c r="O52" i="1"/>
  <c r="I52" i="1"/>
  <c r="U50" i="1"/>
  <c r="Q49" i="1"/>
  <c r="P50" i="1"/>
  <c r="L49" i="1"/>
  <c r="I49" i="1"/>
  <c r="W109" i="1"/>
  <c r="R109" i="1"/>
  <c r="M109" i="1"/>
  <c r="J109" i="1"/>
  <c r="J107" i="1"/>
  <c r="J105" i="1"/>
  <c r="Q107" i="1"/>
  <c r="Q105" i="1"/>
  <c r="N68" i="1" l="1"/>
  <c r="AB68" i="1" s="1"/>
  <c r="R112" i="1"/>
  <c r="J112" i="1"/>
  <c r="Q50" i="1"/>
  <c r="K47" i="1" l="1"/>
  <c r="N66" i="1"/>
  <c r="AB66" i="1" s="1"/>
  <c r="AI68" i="1" s="1"/>
  <c r="X127" i="1" s="1"/>
  <c r="V17" i="1"/>
  <c r="AB12" i="1" l="1"/>
  <c r="U47" i="1" l="1"/>
  <c r="AF12" i="1"/>
  <c r="V15" i="1" l="1"/>
  <c r="V13" i="1"/>
  <c r="T38" i="1"/>
  <c r="Q39" i="1" s="1"/>
  <c r="AF16" i="1"/>
  <c r="AF14" i="1"/>
  <c r="AC32" i="1" l="1"/>
  <c r="AD33" i="1"/>
  <c r="W112" i="1"/>
  <c r="S59" i="1"/>
  <c r="O59" i="1"/>
  <c r="W59" i="1"/>
  <c r="Y47" i="1"/>
  <c r="R38" i="1"/>
  <c r="J57" i="1"/>
  <c r="W38" i="1"/>
  <c r="N112" i="1" l="1"/>
  <c r="AA112" i="1" s="1"/>
  <c r="AK127" i="1" s="1"/>
  <c r="O47" i="1"/>
  <c r="AF47" i="1" s="1"/>
  <c r="R127" i="1" s="1"/>
  <c r="J97" i="1" l="1"/>
  <c r="T97" i="1" s="1"/>
  <c r="AD127" i="1" s="1"/>
  <c r="L123" i="1" s="1"/>
  <c r="L50" i="1"/>
  <c r="V50" i="1" s="1"/>
  <c r="AB52" i="1" l="1"/>
  <c r="L125" i="1" l="1"/>
  <c r="L127" i="1" l="1"/>
  <c r="B131" i="1" l="1"/>
  <c r="B130" i="1"/>
  <c r="R130" i="1"/>
  <c r="K130" i="1"/>
</calcChain>
</file>

<file path=xl/sharedStrings.xml><?xml version="1.0" encoding="utf-8"?>
<sst xmlns="http://schemas.openxmlformats.org/spreadsheetml/2006/main" count="610" uniqueCount="133">
  <si>
    <t>車種区分</t>
    <rPh sb="0" eb="2">
      <t>シャシュ</t>
    </rPh>
    <rPh sb="2" eb="4">
      <t>クブン</t>
    </rPh>
    <phoneticPr fontId="2"/>
  </si>
  <si>
    <t>運賃</t>
    <rPh sb="0" eb="2">
      <t>ウンチン</t>
    </rPh>
    <phoneticPr fontId="2"/>
  </si>
  <si>
    <t>キロ制運賃</t>
    <rPh sb="2" eb="3">
      <t>セイ</t>
    </rPh>
    <rPh sb="3" eb="5">
      <t>ウンチン</t>
    </rPh>
    <phoneticPr fontId="2"/>
  </si>
  <si>
    <t>大型車</t>
    <rPh sb="0" eb="2">
      <t>オオガタ</t>
    </rPh>
    <rPh sb="2" eb="3">
      <t>シャ</t>
    </rPh>
    <phoneticPr fontId="2"/>
  </si>
  <si>
    <t>中型車</t>
    <rPh sb="0" eb="2">
      <t>チュウガタ</t>
    </rPh>
    <rPh sb="2" eb="3">
      <t>シャ</t>
    </rPh>
    <phoneticPr fontId="2"/>
  </si>
  <si>
    <t>小型車</t>
    <rPh sb="0" eb="2">
      <t>コガタ</t>
    </rPh>
    <rPh sb="2" eb="3">
      <t>シャ</t>
    </rPh>
    <phoneticPr fontId="2"/>
  </si>
  <si>
    <t>時間制運賃</t>
    <rPh sb="0" eb="3">
      <t>ジカンセイ</t>
    </rPh>
    <rPh sb="3" eb="5">
      <t>ウンチン</t>
    </rPh>
    <phoneticPr fontId="2"/>
  </si>
  <si>
    <t>上限額</t>
    <rPh sb="0" eb="3">
      <t>ジョウゲンガク</t>
    </rPh>
    <phoneticPr fontId="2"/>
  </si>
  <si>
    <t>下限額</t>
    <rPh sb="0" eb="3">
      <t>カゲンガク</t>
    </rPh>
    <phoneticPr fontId="2"/>
  </si>
  <si>
    <t>料金</t>
    <rPh sb="0" eb="2">
      <t>リョウキン</t>
    </rPh>
    <phoneticPr fontId="2"/>
  </si>
  <si>
    <t>深夜早朝運行料金</t>
    <rPh sb="0" eb="2">
      <t>シンヤ</t>
    </rPh>
    <rPh sb="2" eb="4">
      <t>ソウチョウ</t>
    </rPh>
    <rPh sb="4" eb="6">
      <t>ウンコウ</t>
    </rPh>
    <rPh sb="6" eb="8">
      <t>リョウキン</t>
    </rPh>
    <phoneticPr fontId="2"/>
  </si>
  <si>
    <t>特殊車両割増料金</t>
    <rPh sb="0" eb="2">
      <t>トクシュ</t>
    </rPh>
    <rPh sb="2" eb="4">
      <t>シャリョウ</t>
    </rPh>
    <rPh sb="4" eb="6">
      <t>ワリマシ</t>
    </rPh>
    <rPh sb="6" eb="8">
      <t>リョウキン</t>
    </rPh>
    <phoneticPr fontId="2"/>
  </si>
  <si>
    <t>キロ単価</t>
    <rPh sb="2" eb="4">
      <t>タンカ</t>
    </rPh>
    <phoneticPr fontId="2"/>
  </si>
  <si>
    <t>時間単価</t>
    <rPh sb="0" eb="2">
      <t>ジカン</t>
    </rPh>
    <rPh sb="2" eb="4">
      <t>タンカ</t>
    </rPh>
    <phoneticPr fontId="2"/>
  </si>
  <si>
    <t>×</t>
    <phoneticPr fontId="2"/>
  </si>
  <si>
    <t>＋</t>
    <phoneticPr fontId="2"/>
  </si>
  <si>
    <t>時間</t>
    <rPh sb="0" eb="2">
      <t>ジカン</t>
    </rPh>
    <phoneticPr fontId="2"/>
  </si>
  <si>
    <t>＝</t>
    <phoneticPr fontId="2"/>
  </si>
  <si>
    <t>走行距離</t>
    <rPh sb="0" eb="2">
      <t>ソウコウ</t>
    </rPh>
    <rPh sb="2" eb="4">
      <t>キョリ</t>
    </rPh>
    <phoneticPr fontId="2"/>
  </si>
  <si>
    <t>㎞</t>
    <phoneticPr fontId="2"/>
  </si>
  <si>
    <t>時間制</t>
    <rPh sb="0" eb="3">
      <t>ジカンセイ</t>
    </rPh>
    <phoneticPr fontId="2"/>
  </si>
  <si>
    <t>キロ制</t>
    <rPh sb="2" eb="3">
      <t>セイ</t>
    </rPh>
    <phoneticPr fontId="2"/>
  </si>
  <si>
    <t>分</t>
    <rPh sb="0" eb="1">
      <t>フン</t>
    </rPh>
    <phoneticPr fontId="2"/>
  </si>
  <si>
    <t>運賃計算の対象となる総拘束時間</t>
    <rPh sb="0" eb="2">
      <t>ウンチン</t>
    </rPh>
    <rPh sb="2" eb="4">
      <t>ケイサン</t>
    </rPh>
    <rPh sb="5" eb="7">
      <t>タイショウ</t>
    </rPh>
    <rPh sb="10" eb="11">
      <t>ソウ</t>
    </rPh>
    <rPh sb="11" eb="13">
      <t>コウソク</t>
    </rPh>
    <rPh sb="13" eb="15">
      <t>ジカン</t>
    </rPh>
    <phoneticPr fontId="2"/>
  </si>
  <si>
    <t>深夜早朝料金</t>
    <rPh sb="0" eb="2">
      <t>シンヤ</t>
    </rPh>
    <rPh sb="2" eb="4">
      <t>ソウチョウ</t>
    </rPh>
    <rPh sb="4" eb="6">
      <t>リョウキン</t>
    </rPh>
    <phoneticPr fontId="2"/>
  </si>
  <si>
    <t>特殊車両料金</t>
    <rPh sb="0" eb="2">
      <t>トクシュ</t>
    </rPh>
    <rPh sb="2" eb="4">
      <t>シャリョウ</t>
    </rPh>
    <rPh sb="4" eb="6">
      <t>リョウキン</t>
    </rPh>
    <phoneticPr fontId="2"/>
  </si>
  <si>
    <t>交替運転者配置料金</t>
    <rPh sb="0" eb="2">
      <t>コウタイ</t>
    </rPh>
    <rPh sb="2" eb="5">
      <t>ウンテンシャ</t>
    </rPh>
    <rPh sb="5" eb="7">
      <t>ハイチ</t>
    </rPh>
    <rPh sb="7" eb="9">
      <t>リョウキン</t>
    </rPh>
    <phoneticPr fontId="2"/>
  </si>
  <si>
    <t>２日目：</t>
    <rPh sb="1" eb="2">
      <t>ヒ</t>
    </rPh>
    <rPh sb="2" eb="3">
      <t>メ</t>
    </rPh>
    <phoneticPr fontId="2"/>
  </si>
  <si>
    <t>１日目：</t>
    <rPh sb="1" eb="3">
      <t>ニチメ</t>
    </rPh>
    <phoneticPr fontId="2"/>
  </si>
  <si>
    <t>３日目：</t>
    <rPh sb="1" eb="3">
      <t>ヒメ</t>
    </rPh>
    <phoneticPr fontId="2"/>
  </si>
  <si>
    <t>分＋点呼点検2時間＝</t>
    <rPh sb="0" eb="1">
      <t>フン</t>
    </rPh>
    <rPh sb="2" eb="4">
      <t>テンコ</t>
    </rPh>
    <rPh sb="4" eb="6">
      <t>テンケン</t>
    </rPh>
    <rPh sb="7" eb="9">
      <t>ジカン</t>
    </rPh>
    <phoneticPr fontId="2"/>
  </si>
  <si>
    <t>←</t>
    <phoneticPr fontId="2"/>
  </si>
  <si>
    <t>運　賃</t>
    <rPh sb="0" eb="1">
      <t>ウン</t>
    </rPh>
    <rPh sb="2" eb="3">
      <t>チン</t>
    </rPh>
    <phoneticPr fontId="2"/>
  </si>
  <si>
    <t>運賃計算</t>
    <rPh sb="0" eb="2">
      <t>ウンチン</t>
    </rPh>
    <rPh sb="2" eb="4">
      <t>ケイサン</t>
    </rPh>
    <phoneticPr fontId="2"/>
  </si>
  <si>
    <t>総拘束時間</t>
    <rPh sb="0" eb="1">
      <t>ソウ</t>
    </rPh>
    <rPh sb="1" eb="3">
      <t>コウソク</t>
    </rPh>
    <rPh sb="3" eb="5">
      <t>ジカン</t>
    </rPh>
    <phoneticPr fontId="2"/>
  </si>
  <si>
    <t>（</t>
    <phoneticPr fontId="2"/>
  </si>
  <si>
    <t>）</t>
    <phoneticPr fontId="2"/>
  </si>
  <si>
    <t>時間制運賃額＋キロ制運賃額</t>
    <rPh sb="0" eb="3">
      <t>ジカンセイ</t>
    </rPh>
    <rPh sb="3" eb="5">
      <t>ウンチン</t>
    </rPh>
    <rPh sb="5" eb="6">
      <t>ガク</t>
    </rPh>
    <rPh sb="9" eb="10">
      <t>セイ</t>
    </rPh>
    <rPh sb="10" eb="12">
      <t>ウンチン</t>
    </rPh>
    <rPh sb="12" eb="13">
      <t>ガク</t>
    </rPh>
    <phoneticPr fontId="2"/>
  </si>
  <si>
    <t>（内、深夜早朝に係る時間）</t>
    <rPh sb="1" eb="2">
      <t>ウチ</t>
    </rPh>
    <rPh sb="3" eb="5">
      <t>シンヤ</t>
    </rPh>
    <rPh sb="5" eb="7">
      <t>ソウチョウ</t>
    </rPh>
    <rPh sb="8" eb="9">
      <t>カカ</t>
    </rPh>
    <rPh sb="10" eb="12">
      <t>ジカン</t>
    </rPh>
    <phoneticPr fontId="2"/>
  </si>
  <si>
    <t>深夜早朝時間 計</t>
    <rPh sb="7" eb="8">
      <t>ケイ</t>
    </rPh>
    <phoneticPr fontId="2"/>
  </si>
  <si>
    <t>→</t>
    <phoneticPr fontId="2"/>
  </si>
  <si>
    <t>料　金</t>
    <rPh sb="0" eb="1">
      <t>リョウ</t>
    </rPh>
    <rPh sb="2" eb="3">
      <t>キン</t>
    </rPh>
    <phoneticPr fontId="2"/>
  </si>
  <si>
    <t>消費税</t>
    <rPh sb="0" eb="3">
      <t>ショウヒゼイ</t>
    </rPh>
    <phoneticPr fontId="2"/>
  </si>
  <si>
    <t>運賃＋料金</t>
    <rPh sb="0" eb="2">
      <t>ウンチン</t>
    </rPh>
    <rPh sb="3" eb="5">
      <t>リョウキン</t>
    </rPh>
    <phoneticPr fontId="2"/>
  </si>
  <si>
    <t>合   計</t>
    <rPh sb="0" eb="1">
      <t>ゴウ</t>
    </rPh>
    <rPh sb="4" eb="5">
      <t>ケイ</t>
    </rPh>
    <phoneticPr fontId="2"/>
  </si>
  <si>
    <t>出庫時間</t>
    <rPh sb="0" eb="2">
      <t>シュッコ</t>
    </rPh>
    <rPh sb="2" eb="4">
      <t>ジカン</t>
    </rPh>
    <phoneticPr fontId="2"/>
  </si>
  <si>
    <t>帰庫時間</t>
    <rPh sb="0" eb="1">
      <t>キ</t>
    </rPh>
    <rPh sb="1" eb="2">
      <t>コ</t>
    </rPh>
    <rPh sb="2" eb="4">
      <t>ジカン</t>
    </rPh>
    <phoneticPr fontId="2"/>
  </si>
  <si>
    <t>時</t>
    <rPh sb="0" eb="1">
      <t>ジ</t>
    </rPh>
    <phoneticPr fontId="2"/>
  </si>
  <si>
    <t>(</t>
    <phoneticPr fontId="2"/>
  </si>
  <si>
    <t>)</t>
    <phoneticPr fontId="2"/>
  </si>
  <si>
    <t>拘束時間</t>
    <rPh sb="0" eb="2">
      <t>コウソク</t>
    </rPh>
    <rPh sb="2" eb="4">
      <t>ジカン</t>
    </rPh>
    <phoneticPr fontId="2"/>
  </si>
  <si>
    <r>
      <t xml:space="preserve">始業点呼・点検
</t>
    </r>
    <r>
      <rPr>
        <b/>
        <sz val="9"/>
        <color rgb="FF002060"/>
        <rFont val="ＭＳ Ｐゴシック"/>
        <family val="3"/>
        <charset val="128"/>
        <scheme val="minor"/>
      </rPr>
      <t>出庫前１時間</t>
    </r>
    <rPh sb="0" eb="2">
      <t>シギョウ</t>
    </rPh>
    <rPh sb="2" eb="4">
      <t>テンコ</t>
    </rPh>
    <rPh sb="5" eb="7">
      <t>テンケン</t>
    </rPh>
    <rPh sb="8" eb="10">
      <t>シュッコ</t>
    </rPh>
    <rPh sb="10" eb="11">
      <t>マエ</t>
    </rPh>
    <rPh sb="12" eb="14">
      <t>ジカン</t>
    </rPh>
    <phoneticPr fontId="2"/>
  </si>
  <si>
    <r>
      <t xml:space="preserve">終業点呼・点検
</t>
    </r>
    <r>
      <rPr>
        <b/>
        <sz val="9"/>
        <color rgb="FF002060"/>
        <rFont val="ＭＳ Ｐゴシック"/>
        <family val="3"/>
        <charset val="128"/>
        <scheme val="minor"/>
      </rPr>
      <t>帰庫後１時間</t>
    </r>
    <rPh sb="0" eb="2">
      <t>シュウギョウ</t>
    </rPh>
    <rPh sb="2" eb="4">
      <t>テンコ</t>
    </rPh>
    <rPh sb="5" eb="7">
      <t>テンケン</t>
    </rPh>
    <rPh sb="8" eb="10">
      <t>キコ</t>
    </rPh>
    <rPh sb="10" eb="11">
      <t>ゴ</t>
    </rPh>
    <rPh sb="12" eb="14">
      <t>ジカン</t>
    </rPh>
    <phoneticPr fontId="2"/>
  </si>
  <si>
    <t>深夜早朝</t>
    <rPh sb="0" eb="2">
      <t>シンヤ</t>
    </rPh>
    <rPh sb="2" eb="4">
      <t>ソウチョウ</t>
    </rPh>
    <phoneticPr fontId="2"/>
  </si>
  <si>
    <t>走行時間</t>
    <rPh sb="0" eb="2">
      <t>ソウコウ</t>
    </rPh>
    <rPh sb="2" eb="4">
      <t>ジカン</t>
    </rPh>
    <phoneticPr fontId="2"/>
  </si>
  <si>
    <t>点呼時間</t>
    <rPh sb="0" eb="2">
      <t>テンコ</t>
    </rPh>
    <rPh sb="2" eb="4">
      <t>ジカン</t>
    </rPh>
    <phoneticPr fontId="2"/>
  </si>
  <si>
    <t>（走行時間）</t>
    <rPh sb="1" eb="3">
      <t>ソウコウ</t>
    </rPh>
    <rPh sb="3" eb="5">
      <t>ジカン</t>
    </rPh>
    <phoneticPr fontId="2"/>
  </si>
  <si>
    <t>（拘束時間）</t>
    <rPh sb="1" eb="3">
      <t>コウソク</t>
    </rPh>
    <rPh sb="3" eb="5">
      <t>ジカン</t>
    </rPh>
    <phoneticPr fontId="2"/>
  </si>
  <si>
    <t>帰庫時間</t>
    <rPh sb="0" eb="2">
      <t>キコ</t>
    </rPh>
    <rPh sb="2" eb="4">
      <t>ジカン</t>
    </rPh>
    <phoneticPr fontId="2"/>
  </si>
  <si>
    <t>北海道運輸局公示運賃</t>
    <rPh sb="6" eb="8">
      <t>コウジ</t>
    </rPh>
    <rPh sb="8" eb="10">
      <t>ウンチン</t>
    </rPh>
    <phoneticPr fontId="2"/>
  </si>
  <si>
    <t>東北運輸局公示運賃</t>
    <rPh sb="5" eb="7">
      <t>コウジ</t>
    </rPh>
    <rPh sb="7" eb="9">
      <t>ウンチン</t>
    </rPh>
    <phoneticPr fontId="2"/>
  </si>
  <si>
    <t>関東運輸局公示運賃</t>
    <rPh sb="0" eb="2">
      <t>カントウ</t>
    </rPh>
    <rPh sb="5" eb="7">
      <t>コウジ</t>
    </rPh>
    <rPh sb="7" eb="9">
      <t>ウンチン</t>
    </rPh>
    <phoneticPr fontId="2"/>
  </si>
  <si>
    <t>北陸信越運輸局公示運賃</t>
    <rPh sb="0" eb="2">
      <t>ホクリク</t>
    </rPh>
    <rPh sb="2" eb="4">
      <t>シンエツ</t>
    </rPh>
    <rPh sb="7" eb="9">
      <t>コウジ</t>
    </rPh>
    <rPh sb="9" eb="11">
      <t>ウンチン</t>
    </rPh>
    <phoneticPr fontId="2"/>
  </si>
  <si>
    <t>近畿運輸局公示運賃</t>
    <rPh sb="0" eb="2">
      <t>キンキ</t>
    </rPh>
    <rPh sb="5" eb="7">
      <t>コウジ</t>
    </rPh>
    <rPh sb="7" eb="9">
      <t>ウンチン</t>
    </rPh>
    <phoneticPr fontId="2"/>
  </si>
  <si>
    <t>中部運輸局公示運賃</t>
    <rPh sb="0" eb="2">
      <t>チュウブ</t>
    </rPh>
    <rPh sb="2" eb="4">
      <t>ウンユ</t>
    </rPh>
    <rPh sb="5" eb="7">
      <t>コウジ</t>
    </rPh>
    <rPh sb="7" eb="9">
      <t>ウンチン</t>
    </rPh>
    <phoneticPr fontId="2"/>
  </si>
  <si>
    <t>四国運輸局公示運賃</t>
    <rPh sb="0" eb="2">
      <t>シコク</t>
    </rPh>
    <rPh sb="2" eb="4">
      <t>ウンユ</t>
    </rPh>
    <rPh sb="5" eb="7">
      <t>コウジ</t>
    </rPh>
    <rPh sb="7" eb="9">
      <t>ウンチン</t>
    </rPh>
    <phoneticPr fontId="2"/>
  </si>
  <si>
    <t>九州運輸局公示運賃</t>
    <rPh sb="0" eb="2">
      <t>キュウシュウ</t>
    </rPh>
    <rPh sb="2" eb="4">
      <t>ウンユ</t>
    </rPh>
    <rPh sb="5" eb="7">
      <t>コウジ</t>
    </rPh>
    <rPh sb="7" eb="9">
      <t>ウンチン</t>
    </rPh>
    <phoneticPr fontId="2"/>
  </si>
  <si>
    <t>沖縄運輸局公示運賃</t>
    <rPh sb="0" eb="2">
      <t>オキナワ</t>
    </rPh>
    <rPh sb="2" eb="4">
      <t>ウンユ</t>
    </rPh>
    <rPh sb="5" eb="7">
      <t>コウジ</t>
    </rPh>
    <rPh sb="7" eb="9">
      <t>ウンチン</t>
    </rPh>
    <phoneticPr fontId="2"/>
  </si>
  <si>
    <t>北海道</t>
    <rPh sb="0" eb="3">
      <t>ホッカイドウ</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</si>
  <si>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</si>
  <si>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</si>
  <si>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</si>
  <si>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</si>
  <si>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</si>
  <si>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四国</t>
    <rPh sb="0" eb="2">
      <t>シコク</t>
    </rPh>
    <phoneticPr fontId="2"/>
  </si>
  <si>
    <t>九州</t>
    <rPh sb="0" eb="2">
      <t>キュウシュウ</t>
    </rPh>
    <phoneticPr fontId="2"/>
  </si>
  <si>
    <t>沖縄</t>
    <rPh sb="0" eb="2">
      <t>オキナワ</t>
    </rPh>
    <phoneticPr fontId="2"/>
  </si>
  <si>
    <t>中国</t>
    <rPh sb="0" eb="1">
      <t>チュウ</t>
    </rPh>
    <rPh sb="1" eb="2">
      <t>クニ</t>
    </rPh>
    <phoneticPr fontId="2"/>
  </si>
  <si>
    <t>運輸局を選択→</t>
    <rPh sb="0" eb="2">
      <t>ウンユ</t>
    </rPh>
    <rPh sb="2" eb="3">
      <t>キョク</t>
    </rPh>
    <rPh sb="4" eb="6">
      <t>センタク</t>
    </rPh>
    <phoneticPr fontId="2"/>
  </si>
  <si>
    <t>北海道K</t>
    <rPh sb="0" eb="3">
      <t>ホッカイドウ</t>
    </rPh>
    <phoneticPr fontId="2"/>
  </si>
  <si>
    <t>東北K</t>
    <rPh sb="0" eb="2">
      <t>トウホク</t>
    </rPh>
    <phoneticPr fontId="2"/>
  </si>
  <si>
    <t>関東K</t>
    <rPh sb="0" eb="2">
      <t>カントウ</t>
    </rPh>
    <phoneticPr fontId="2"/>
  </si>
  <si>
    <t>北陸K</t>
    <rPh sb="0" eb="2">
      <t>ホクリク</t>
    </rPh>
    <phoneticPr fontId="2"/>
  </si>
  <si>
    <t>中部K</t>
    <rPh sb="0" eb="2">
      <t>チュウブ</t>
    </rPh>
    <phoneticPr fontId="2"/>
  </si>
  <si>
    <t>中国K</t>
    <rPh sb="0" eb="1">
      <t>チュウ</t>
    </rPh>
    <rPh sb="1" eb="2">
      <t>クニ</t>
    </rPh>
    <phoneticPr fontId="2"/>
  </si>
  <si>
    <t>近畿K</t>
    <rPh sb="0" eb="2">
      <t>キンキ</t>
    </rPh>
    <phoneticPr fontId="2"/>
  </si>
  <si>
    <t>四国K</t>
    <rPh sb="0" eb="2">
      <t>シコク</t>
    </rPh>
    <phoneticPr fontId="2"/>
  </si>
  <si>
    <t>九州K</t>
    <rPh sb="0" eb="2">
      <t>キュウシュウ</t>
    </rPh>
    <phoneticPr fontId="2"/>
  </si>
  <si>
    <t>沖縄K</t>
    <rPh sb="0" eb="2">
      <t>オキナワ</t>
    </rPh>
    <phoneticPr fontId="2"/>
  </si>
  <si>
    <t>中国公示運賃</t>
    <rPh sb="0" eb="2">
      <t>チュウゴク</t>
    </rPh>
    <rPh sb="2" eb="4">
      <t>コウジ</t>
    </rPh>
    <rPh sb="4" eb="6">
      <t>ウンチン</t>
    </rPh>
    <phoneticPr fontId="2"/>
  </si>
  <si>
    <t>（１時間あたりの単価）</t>
    <phoneticPr fontId="2"/>
  </si>
  <si>
    <t>（１㎞あたりの単価）</t>
    <phoneticPr fontId="2"/>
  </si>
  <si>
    <t>←車種区分を選択してください</t>
    <rPh sb="1" eb="3">
      <t>シャシュ</t>
    </rPh>
    <rPh sb="3" eb="5">
      <t>クブン</t>
    </rPh>
    <rPh sb="6" eb="8">
      <t>センタク</t>
    </rPh>
    <phoneticPr fontId="2"/>
  </si>
  <si>
    <t>←運輸局を選択してください</t>
    <rPh sb="1" eb="3">
      <t>ウンユ</t>
    </rPh>
    <rPh sb="3" eb="4">
      <t>キョク</t>
    </rPh>
    <rPh sb="5" eb="7">
      <t>センタク</t>
    </rPh>
    <phoneticPr fontId="2"/>
  </si>
  <si>
    <t>貸切バスの運賃・料金簡易計算シミュレーター</t>
    <rPh sb="0" eb="2">
      <t>カシキリ</t>
    </rPh>
    <rPh sb="5" eb="7">
      <t>ウンチン</t>
    </rPh>
    <rPh sb="8" eb="10">
      <t>リョウキン</t>
    </rPh>
    <rPh sb="10" eb="12">
      <t>カンイ</t>
    </rPh>
    <rPh sb="12" eb="14">
      <t>ケイサン</t>
    </rPh>
    <phoneticPr fontId="2"/>
  </si>
  <si>
    <t>走行時間を入力してください→</t>
    <rPh sb="0" eb="2">
      <t>ソウコウ</t>
    </rPh>
    <rPh sb="2" eb="4">
      <t>ジカン</t>
    </rPh>
    <rPh sb="5" eb="7">
      <t>ニュウリョク</t>
    </rPh>
    <phoneticPr fontId="2"/>
  </si>
  <si>
    <t>①または①´</t>
    <phoneticPr fontId="2"/>
  </si>
  <si>
    <t>⑤</t>
    <phoneticPr fontId="2"/>
  </si>
  <si>
    <t>⑦</t>
    <phoneticPr fontId="2"/>
  </si>
  <si>
    <t>＋</t>
    <phoneticPr fontId="2"/>
  </si>
  <si>
    <t>北海道交</t>
    <rPh sb="0" eb="3">
      <t>ホッカイドウ</t>
    </rPh>
    <phoneticPr fontId="2"/>
  </si>
  <si>
    <t>東北交</t>
    <rPh sb="0" eb="2">
      <t>トウホク</t>
    </rPh>
    <phoneticPr fontId="2"/>
  </si>
  <si>
    <t>関東交</t>
    <rPh sb="0" eb="2">
      <t>カントウ</t>
    </rPh>
    <phoneticPr fontId="2"/>
  </si>
  <si>
    <t>北陸交</t>
    <rPh sb="0" eb="2">
      <t>ホクリク</t>
    </rPh>
    <phoneticPr fontId="2"/>
  </si>
  <si>
    <t>中部交</t>
    <rPh sb="0" eb="2">
      <t>チュウブ</t>
    </rPh>
    <phoneticPr fontId="2"/>
  </si>
  <si>
    <t>中国交</t>
    <rPh sb="0" eb="1">
      <t>チュウ</t>
    </rPh>
    <rPh sb="1" eb="2">
      <t>クニ</t>
    </rPh>
    <phoneticPr fontId="2"/>
  </si>
  <si>
    <t>近畿交</t>
    <rPh sb="0" eb="2">
      <t>キンキ</t>
    </rPh>
    <phoneticPr fontId="2"/>
  </si>
  <si>
    <t>四国交</t>
    <rPh sb="0" eb="2">
      <t>シコク</t>
    </rPh>
    <phoneticPr fontId="2"/>
  </si>
  <si>
    <t>沖縄交</t>
    <rPh sb="0" eb="2">
      <t>オキナワ</t>
    </rPh>
    <phoneticPr fontId="2"/>
  </si>
  <si>
    <t>九州交</t>
    <rPh sb="0" eb="2">
      <t>キュウシュウ</t>
    </rPh>
    <phoneticPr fontId="2"/>
  </si>
  <si>
    <t>下限額</t>
    <rPh sb="0" eb="2">
      <t>カゲン</t>
    </rPh>
    <rPh sb="2" eb="3">
      <t>ガク</t>
    </rPh>
    <phoneticPr fontId="2"/>
  </si>
  <si>
    <t>③</t>
    <phoneticPr fontId="2"/>
  </si>
  <si>
    <t>※特殊車両料金を適用するときは、□をクリックしてください</t>
    <rPh sb="1" eb="3">
      <t>トクシュ</t>
    </rPh>
    <rPh sb="3" eb="5">
      <t>シャリョウ</t>
    </rPh>
    <rPh sb="5" eb="7">
      <t>リョウキン</t>
    </rPh>
    <rPh sb="8" eb="10">
      <t>テキヨウ</t>
    </rPh>
    <phoneticPr fontId="2"/>
  </si>
  <si>
    <t>※交替運転者配置料金を適用するときは、□をクリックしてください</t>
    <rPh sb="1" eb="3">
      <t>コウタイ</t>
    </rPh>
    <rPh sb="3" eb="6">
      <t>ウンテンシャ</t>
    </rPh>
    <rPh sb="6" eb="8">
      <t>ハイチ</t>
    </rPh>
    <rPh sb="8" eb="10">
      <t>リョウキン</t>
    </rPh>
    <rPh sb="11" eb="13">
      <t>テキヨウ</t>
    </rPh>
    <phoneticPr fontId="2"/>
  </si>
  <si>
    <t>に入力してください</t>
    <rPh sb="1" eb="3">
      <t>ニュウリョク</t>
    </rPh>
    <phoneticPr fontId="2"/>
  </si>
  <si>
    <t>４日目：</t>
    <rPh sb="1" eb="3">
      <t>ヒメ</t>
    </rPh>
    <phoneticPr fontId="2"/>
  </si>
  <si>
    <t>５日目：</t>
    <rPh sb="1" eb="3">
      <t>ヒメ</t>
    </rPh>
    <phoneticPr fontId="2"/>
  </si>
  <si>
    <t>６日目：</t>
    <rPh sb="1" eb="3">
      <t>ヒメ</t>
    </rPh>
    <phoneticPr fontId="2"/>
  </si>
  <si>
    <t>７日目：</t>
    <rPh sb="1" eb="3">
      <t>ヒメ</t>
    </rPh>
    <phoneticPr fontId="2"/>
  </si>
  <si>
    <t>８日目：</t>
    <rPh sb="1" eb="3">
      <t>ヒメ</t>
    </rPh>
    <phoneticPr fontId="2"/>
  </si>
  <si>
    <t>９日目：</t>
    <rPh sb="1" eb="3">
      <t>ヒメ</t>
    </rPh>
    <phoneticPr fontId="2"/>
  </si>
  <si>
    <t>10日目：</t>
    <rPh sb="2" eb="4">
      <t>ヒメ</t>
    </rPh>
    <phoneticPr fontId="2"/>
  </si>
  <si>
    <t>１０日目：</t>
    <rPh sb="2" eb="4">
      <t>ヒメ</t>
    </rPh>
    <phoneticPr fontId="2"/>
  </si>
  <si>
    <t>基準額</t>
    <rPh sb="0" eb="2">
      <t>キジュン</t>
    </rPh>
    <rPh sb="2" eb="3">
      <t>ガク</t>
    </rPh>
    <phoneticPr fontId="2"/>
  </si>
  <si>
    <t>割増率</t>
  </si>
  <si>
    <t>※任意の割増率を記入してください</t>
    <rPh sb="1" eb="3">
      <t>ニンイ</t>
    </rPh>
    <rPh sb="4" eb="7">
      <t>ワリマシリツ</t>
    </rPh>
    <rPh sb="8" eb="10">
      <t>キニュウ</t>
    </rPh>
    <phoneticPr fontId="2"/>
  </si>
  <si>
    <t>基準額</t>
    <rPh sb="0" eb="3">
      <t>キジュンガク</t>
    </rPh>
    <phoneticPr fontId="2"/>
  </si>
  <si>
    <t>時間制運賃及び交替運転者配置料金（時間制料金）の２割増</t>
    <rPh sb="0" eb="3">
      <t>ジカンセイ</t>
    </rPh>
    <rPh sb="3" eb="5">
      <t>ウンチン</t>
    </rPh>
    <rPh sb="5" eb="6">
      <t>オヨ</t>
    </rPh>
    <rPh sb="7" eb="9">
      <t>コウタイ</t>
    </rPh>
    <rPh sb="9" eb="12">
      <t>ウンテンシャ</t>
    </rPh>
    <rPh sb="12" eb="14">
      <t>ハイチ</t>
    </rPh>
    <rPh sb="14" eb="16">
      <t>リョウキン</t>
    </rPh>
    <rPh sb="17" eb="20">
      <t>ジカンセイ</t>
    </rPh>
    <rPh sb="20" eb="22">
      <t>リョウキン</t>
    </rPh>
    <rPh sb="25" eb="26">
      <t>ワリ</t>
    </rPh>
    <rPh sb="26" eb="27">
      <t>ゾウ</t>
    </rPh>
    <phoneticPr fontId="2"/>
  </si>
  <si>
    <t>任意の割増</t>
    <rPh sb="0" eb="2">
      <t>ニンイ</t>
    </rPh>
    <rPh sb="3" eb="5">
      <t>ワリマ</t>
    </rPh>
    <phoneticPr fontId="2"/>
  </si>
  <si>
    <t>～</t>
    <phoneticPr fontId="2"/>
  </si>
  <si>
    <t>割  引</t>
    <rPh sb="0" eb="1">
      <t>ワリ</t>
    </rPh>
    <rPh sb="3" eb="4">
      <t>ヒ</t>
    </rPh>
    <phoneticPr fontId="2"/>
  </si>
  <si>
    <t>←該当箇所を選択してください</t>
    <rPh sb="1" eb="3">
      <t>ガイトウ</t>
    </rPh>
    <rPh sb="3" eb="5">
      <t>カショ</t>
    </rPh>
    <rPh sb="6" eb="8">
      <t>センタク</t>
    </rPh>
    <phoneticPr fontId="2"/>
  </si>
  <si>
    <t>上限額①</t>
    <rPh sb="0" eb="3">
      <t>ジョウゲンガク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</si>
</sst>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円&quot;"/>
    <numFmt numFmtId="177" formatCode="#,##0.0;[Red]\-#,##0.0"/>
    <numFmt numFmtId="178" formatCode="###&quot;時&quot;&quot;間&quot;"/>
    <numFmt numFmtId="179" formatCode="#,###&quot;㎞&quot;"/>
    <numFmt numFmtId="180" formatCode="#,##0&quot;円&quot;"/>
    <numFmt numFmtId="181" formatCode="h:mm;@"/>
    <numFmt numFmtId="182" formatCode="#,##0_);\(#,##0\)"/>
    <numFmt numFmtId="183" formatCode="00"/>
    <numFmt numFmtId="184" formatCode="##0&quot;時&quot;&quot;間&quot;"/>
    <numFmt numFmtId="185" formatCode="00&quot;分&quot;"/>
    <numFmt numFmtId="186" formatCode="0_);[Red]\(0\)"/>
    <numFmt numFmtId="187" formatCode="#0&quot;分&quot;"/>
    <numFmt numFmtId="188" formatCode="#,##0_);[Red]\(#,##0\)"/>
    <numFmt numFmtId="189" formatCode="#,##0_ ;[Red]\-#,##0\ "/>
    <numFmt numFmtId="190" formatCode="[h]:mm"/>
  </numFmts>
  <fonts count="4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1"/>
      <name val="ＭＳ Ｐゴシック"/>
      <family val="3"/>
      <charset val="128"/>
      <scheme val="minor"/>
    </font>
    <font>
      <b/>
      <sz val="11"/>
      <color rgb="FF0070C0"/>
      <name val="ＭＳ Ｐゴシック"/>
      <family val="3"/>
      <charset val="128"/>
      <scheme val="minor"/>
    </font>
    <font>
      <b/>
      <sz val="16"/>
      <color rgb="FF002060"/>
      <name val="ＭＳ Ｐゴシック"/>
      <family val="3"/>
      <charset val="128"/>
      <scheme val="minor"/>
    </font>
    <font>
      <b/>
      <sz val="11"/>
      <color rgb="FF002060"/>
      <name val="ＭＳ Ｐゴシック"/>
      <family val="3"/>
      <charset val="128"/>
      <scheme val="minor"/>
    </font>
    <font>
      <b/>
      <sz val="9"/>
      <color theme="1"/>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b/>
      <sz val="24"/>
      <color theme="1"/>
      <name val="ＭＳ Ｐゴシック"/>
      <family val="3"/>
      <charset val="128"/>
      <scheme val="minor"/>
    </font>
    <font>
      <sz val="10"/>
      <color rgb="FF002060"/>
      <name val="ＭＳ Ｐゴシック"/>
      <family val="3"/>
      <charset val="128"/>
      <scheme val="minor"/>
    </font>
    <font>
      <sz val="8"/>
      <color rgb="FFFF0000"/>
      <name val="ＭＳ Ｐゴシック"/>
      <family val="3"/>
      <charset val="128"/>
      <scheme val="minor"/>
    </font>
    <font>
      <b/>
      <sz val="22"/>
      <color rgb="FF000000"/>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sz val="11"/>
      <color rgb="FF002060"/>
      <name val="ＭＳ Ｐゴシック"/>
      <family val="3"/>
      <charset val="128"/>
      <scheme val="minor"/>
    </font>
    <font>
      <sz val="11"/>
      <color rgb="FFFF0000"/>
      <name val="ＭＳ Ｐゴシック"/>
      <family val="2"/>
      <charset val="128"/>
      <scheme val="minor"/>
    </font>
    <font>
      <b/>
      <sz val="11"/>
      <color theme="0"/>
      <name val="ＭＳ Ｐゴシック"/>
      <family val="3"/>
      <charset val="128"/>
      <scheme val="minor"/>
    </font>
    <font>
      <b/>
      <sz val="14"/>
      <color rgb="FF002060"/>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9"/>
      <color rgb="FF002060"/>
      <name val="ＭＳ Ｐゴシック"/>
      <family val="3"/>
      <charset val="128"/>
      <scheme val="minor"/>
    </font>
    <font>
      <sz val="9"/>
      <color rgb="FFFF0000"/>
      <name val="ＭＳ Ｐゴシック"/>
      <family val="3"/>
      <charset val="128"/>
      <scheme val="minor"/>
    </font>
    <font>
      <b/>
      <sz val="16"/>
      <color rgb="FFFF0000"/>
      <name val="ＭＳ Ｐゴシック"/>
      <family val="3"/>
      <charset val="128"/>
      <scheme val="minor"/>
    </font>
    <font>
      <sz val="11"/>
      <color rgb="FFFF0000"/>
      <name val="ＭＳ Ｐゴシック"/>
      <family val="3"/>
      <charset val="128"/>
      <scheme val="minor"/>
    </font>
    <font>
      <sz val="9"/>
      <color rgb="FF000000"/>
      <name val="MS UI Gothic"/>
      <family val="3"/>
      <charset val="128"/>
    </font>
    <font>
      <b/>
      <sz val="22"/>
      <color theme="0"/>
      <name val="ＭＳ Ｐゴシック"/>
      <family val="3"/>
      <charset val="128"/>
      <scheme val="minor"/>
    </font>
    <font>
      <b/>
      <sz val="12"/>
      <color theme="0"/>
      <name val="ＭＳ Ｐゴシック"/>
      <family val="3"/>
      <charset val="128"/>
      <scheme val="minor"/>
    </font>
    <font>
      <b/>
      <sz val="20"/>
      <color rgb="FFFF0000"/>
      <name val="ＭＳ Ｐゴシック"/>
      <family val="3"/>
      <charset val="128"/>
      <scheme val="minor"/>
    </font>
    <font>
      <b/>
      <sz val="18"/>
      <color rgb="FFFF0000"/>
      <name val="ＭＳ Ｐゴシック"/>
      <family val="3"/>
      <charset val="128"/>
      <scheme val="minor"/>
    </font>
    <font>
      <sz val="10"/>
      <color rgb="FFFF0000"/>
      <name val="ＭＳ Ｐゴシック"/>
      <family val="3"/>
      <charset val="128"/>
      <scheme val="minor"/>
    </font>
    <font>
      <b/>
      <sz val="14"/>
      <color rgb="FFFF0000"/>
      <name val="ＭＳ Ｐゴシック"/>
      <family val="3"/>
      <charset val="128"/>
      <scheme val="minor"/>
    </font>
    <font>
      <sz val="10"/>
      <color theme="0"/>
      <name val="ＭＳ Ｐゴシック"/>
      <family val="3"/>
      <charset val="128"/>
      <scheme val="minor"/>
    </font>
    <font>
      <b/>
      <sz val="16"/>
      <name val="ＭＳ Ｐゴシック"/>
      <family val="3"/>
      <charset val="128"/>
      <scheme val="minor"/>
    </font>
    <font>
      <b/>
      <sz val="22"/>
      <color rgb="FFFF0000"/>
      <name val="ＭＳ Ｐゴシック"/>
      <family val="3"/>
      <charset val="128"/>
      <scheme val="minor"/>
    </font>
    <font>
      <sz val="10"/>
      <color theme="1"/>
      <name val="ＭＳ Ｐゴシック"/>
      <family val="3"/>
      <charset val="128"/>
      <scheme val="minor"/>
    </font>
    <font>
      <b/>
      <sz val="14"/>
      <color theme="0"/>
      <name val="ＭＳ Ｐゴシック"/>
      <family val="3"/>
      <charset val="128"/>
      <scheme val="minor"/>
    </font>
    <font>
      <b/>
      <sz val="16"/>
      <color theme="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right/>
      <top/>
      <bottom style="double">
        <color indexed="64"/>
      </bottom>
      <diagonal/>
    </border>
    <border>
      <left/>
      <right/>
      <top style="double">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12">
    <xf numFmtId="0" fontId="0" fillId="0" borderId="0" xfId="0">
      <alignment vertical="center"/>
    </xf>
    <xf numFmtId="38" fontId="4" fillId="0" borderId="0" xfId="1" applyFont="1" applyFill="1" applyBorder="1" applyProtection="1">
      <alignment vertical="center"/>
      <protection hidden="1"/>
    </xf>
    <xf numFmtId="38" fontId="10" fillId="0" borderId="0" xfId="1" applyFont="1" applyFill="1" applyAlignment="1" applyProtection="1">
      <alignment horizontal="center" vertical="center"/>
      <protection hidden="1"/>
    </xf>
    <xf numFmtId="38" fontId="10" fillId="0" borderId="0" xfId="1" applyFont="1" applyFill="1" applyProtection="1">
      <alignment vertical="center"/>
      <protection hidden="1"/>
    </xf>
    <xf numFmtId="38" fontId="4" fillId="0" borderId="4" xfId="1" applyFont="1" applyFill="1" applyBorder="1" applyProtection="1">
      <alignment vertical="center"/>
      <protection hidden="1"/>
    </xf>
    <xf numFmtId="38" fontId="4" fillId="0" borderId="0" xfId="1" applyFont="1" applyFill="1" applyProtection="1">
      <alignment vertical="center"/>
      <protection hidden="1"/>
    </xf>
    <xf numFmtId="38" fontId="5" fillId="0" borderId="0" xfId="1" applyFont="1" applyFill="1" applyBorder="1" applyAlignment="1" applyProtection="1">
      <alignment vertical="center"/>
      <protection hidden="1"/>
    </xf>
    <xf numFmtId="38" fontId="7" fillId="0" borderId="0" xfId="1" applyFont="1" applyFill="1" applyAlignment="1" applyProtection="1">
      <alignment vertical="center"/>
      <protection hidden="1"/>
    </xf>
    <xf numFmtId="38" fontId="3" fillId="0" borderId="0" xfId="1" applyFont="1" applyFill="1" applyProtection="1">
      <alignment vertical="center"/>
      <protection hidden="1"/>
    </xf>
    <xf numFmtId="38" fontId="23" fillId="0" borderId="0" xfId="1" applyFont="1" applyFill="1" applyProtection="1">
      <alignment vertical="center"/>
      <protection hidden="1"/>
    </xf>
    <xf numFmtId="38" fontId="25" fillId="0" borderId="0" xfId="1" applyFont="1" applyFill="1" applyAlignment="1" applyProtection="1">
      <alignment vertical="top"/>
      <protection hidden="1"/>
    </xf>
    <xf numFmtId="38" fontId="5" fillId="0" borderId="0" xfId="1" applyFont="1" applyFill="1" applyBorder="1" applyProtection="1">
      <alignment vertical="center"/>
      <protection hidden="1"/>
    </xf>
    <xf numFmtId="38" fontId="14" fillId="0" borderId="0" xfId="1" applyFont="1" applyFill="1" applyProtection="1">
      <alignment vertical="center"/>
      <protection hidden="1"/>
    </xf>
    <xf numFmtId="38" fontId="4" fillId="0" borderId="0" xfId="1" applyFont="1" applyFill="1" applyBorder="1" applyAlignment="1" applyProtection="1">
      <alignment vertical="center"/>
      <protection hidden="1"/>
    </xf>
    <xf numFmtId="38" fontId="29" fillId="0" borderId="0" xfId="1" applyFont="1" applyFill="1" applyBorder="1" applyProtection="1">
      <alignment vertical="center"/>
      <protection hidden="1"/>
    </xf>
    <xf numFmtId="177" fontId="4" fillId="0" borderId="0" xfId="1" applyNumberFormat="1" applyFont="1" applyFill="1" applyProtection="1">
      <alignment vertical="center"/>
      <protection hidden="1"/>
    </xf>
    <xf numFmtId="38" fontId="7" fillId="0" borderId="0" xfId="1" applyFont="1" applyFill="1" applyProtection="1">
      <alignment vertical="center"/>
      <protection hidden="1"/>
    </xf>
    <xf numFmtId="38" fontId="16" fillId="0" borderId="0" xfId="1" applyFont="1" applyFill="1" applyAlignment="1" applyProtection="1">
      <alignment vertical="center"/>
      <protection hidden="1"/>
    </xf>
    <xf numFmtId="38" fontId="13" fillId="0" borderId="0" xfId="1" applyFont="1" applyFill="1" applyAlignment="1" applyProtection="1">
      <alignment vertical="top"/>
      <protection hidden="1"/>
    </xf>
    <xf numFmtId="38" fontId="30" fillId="0" borderId="0" xfId="1" applyFont="1" applyFill="1" applyProtection="1">
      <alignment vertical="center"/>
      <protection hidden="1"/>
    </xf>
    <xf numFmtId="38" fontId="3" fillId="0" borderId="0" xfId="1" applyFont="1" applyFill="1" applyBorder="1" applyProtection="1">
      <alignment vertical="center"/>
      <protection hidden="1"/>
    </xf>
    <xf numFmtId="38" fontId="3" fillId="0" borderId="0" xfId="1" applyFont="1" applyFill="1" applyAlignment="1" applyProtection="1">
      <alignment horizontal="right" vertical="center"/>
      <protection hidden="1"/>
    </xf>
    <xf numFmtId="38" fontId="36" fillId="0" borderId="0" xfId="1" applyFont="1" applyFill="1" applyAlignment="1" applyProtection="1">
      <alignment vertical="center"/>
      <protection hidden="1"/>
    </xf>
    <xf numFmtId="0" fontId="0" fillId="0" borderId="0" xfId="0" applyAlignment="1">
      <alignment horizontal="left" vertical="center" wrapText="1"/>
    </xf>
    <xf numFmtId="38" fontId="4" fillId="0" borderId="0" xfId="1" applyFont="1" applyFill="1" applyProtection="1">
      <alignment vertical="center"/>
      <protection locked="0" hidden="1"/>
    </xf>
    <xf numFmtId="38" fontId="18" fillId="0" borderId="0" xfId="1" applyFont="1" applyFill="1" applyAlignment="1" applyProtection="1">
      <alignment vertical="center"/>
      <protection hidden="1"/>
    </xf>
    <xf numFmtId="38" fontId="18" fillId="0" borderId="1" xfId="1" applyFont="1" applyFill="1" applyBorder="1" applyAlignment="1" applyProtection="1">
      <alignment vertical="center"/>
      <protection hidden="1"/>
    </xf>
    <xf numFmtId="38" fontId="18" fillId="0" borderId="2" xfId="1" applyFont="1" applyFill="1" applyBorder="1" applyAlignment="1" applyProtection="1">
      <alignment vertical="center"/>
      <protection hidden="1"/>
    </xf>
    <xf numFmtId="38" fontId="18" fillId="0" borderId="3" xfId="1" applyFont="1" applyFill="1" applyBorder="1" applyAlignment="1" applyProtection="1">
      <alignment vertical="center"/>
      <protection hidden="1"/>
    </xf>
    <xf numFmtId="38" fontId="26" fillId="0" borderId="0" xfId="1" applyFont="1" applyFill="1" applyAlignment="1" applyProtection="1">
      <alignment vertical="center"/>
      <protection hidden="1"/>
    </xf>
    <xf numFmtId="38" fontId="18" fillId="0" borderId="0" xfId="1" applyFont="1" applyFill="1" applyBorder="1" applyAlignment="1" applyProtection="1">
      <alignment vertical="center"/>
      <protection hidden="1"/>
    </xf>
    <xf numFmtId="38" fontId="3" fillId="0" borderId="0" xfId="1" applyFont="1" applyFill="1" applyProtection="1">
      <alignment vertical="center"/>
      <protection locked="0" hidden="1"/>
    </xf>
    <xf numFmtId="38" fontId="19" fillId="0" borderId="0" xfId="1" applyFont="1" applyFill="1" applyProtection="1">
      <alignment vertical="center"/>
      <protection hidden="1"/>
    </xf>
    <xf numFmtId="38" fontId="6" fillId="0" borderId="0" xfId="1" applyFont="1" applyFill="1" applyProtection="1">
      <alignment vertical="center"/>
      <protection hidden="1"/>
    </xf>
    <xf numFmtId="38" fontId="3" fillId="0" borderId="0" xfId="1" applyFont="1" applyFill="1" applyAlignment="1" applyProtection="1">
      <alignment vertical="center"/>
      <protection hidden="1"/>
    </xf>
    <xf numFmtId="38" fontId="20" fillId="0" borderId="0" xfId="1" applyFont="1" applyFill="1" applyAlignment="1" applyProtection="1">
      <alignment vertical="top"/>
      <protection hidden="1"/>
    </xf>
    <xf numFmtId="38" fontId="24" fillId="0" borderId="0" xfId="1" applyFont="1" applyFill="1" applyAlignment="1" applyProtection="1">
      <alignment horizontal="center" vertical="center"/>
      <protection hidden="1"/>
    </xf>
    <xf numFmtId="38" fontId="7" fillId="0" borderId="0" xfId="1" applyFont="1" applyFill="1" applyAlignment="1" applyProtection="1">
      <alignment horizontal="left" vertical="center"/>
      <protection hidden="1"/>
    </xf>
    <xf numFmtId="38" fontId="4" fillId="0" borderId="0" xfId="1" applyFont="1" applyFill="1" applyAlignment="1" applyProtection="1">
      <alignment vertical="center"/>
      <protection hidden="1"/>
    </xf>
    <xf numFmtId="38" fontId="21" fillId="0" borderId="0" xfId="1" applyFont="1" applyFill="1" applyBorder="1" applyAlignment="1" applyProtection="1">
      <alignment horizontal="right" vertical="center"/>
      <protection hidden="1"/>
    </xf>
    <xf numFmtId="38" fontId="21" fillId="0" borderId="0" xfId="1" applyFont="1" applyFill="1" applyProtection="1">
      <alignment vertical="center"/>
      <protection hidden="1"/>
    </xf>
    <xf numFmtId="38" fontId="19" fillId="0" borderId="0" xfId="1" applyFont="1" applyFill="1" applyBorder="1" applyAlignment="1" applyProtection="1">
      <alignment horizontal="center" vertical="center"/>
      <protection hidden="1"/>
    </xf>
    <xf numFmtId="38" fontId="19" fillId="0" borderId="0" xfId="1" applyFont="1" applyFill="1" applyBorder="1" applyProtection="1">
      <alignment vertical="center"/>
      <protection hidden="1"/>
    </xf>
    <xf numFmtId="0" fontId="3" fillId="0" borderId="0" xfId="0" applyFont="1" applyAlignment="1" applyProtection="1">
      <alignment horizontal="center" vertical="center"/>
      <protection hidden="1"/>
    </xf>
    <xf numFmtId="0" fontId="7" fillId="0" borderId="0" xfId="0" applyFont="1" applyAlignment="1" applyProtection="1">
      <alignment horizontal="center"/>
      <protection hidden="1"/>
    </xf>
    <xf numFmtId="38" fontId="7" fillId="0" borderId="0" xfId="1" applyFont="1" applyFill="1" applyAlignment="1" applyProtection="1">
      <protection hidden="1"/>
    </xf>
    <xf numFmtId="38" fontId="10" fillId="0" borderId="0" xfId="1" applyFont="1" applyFill="1" applyBorder="1" applyAlignment="1" applyProtection="1">
      <alignment vertical="center"/>
      <protection hidden="1"/>
    </xf>
    <xf numFmtId="0" fontId="21" fillId="0" borderId="0" xfId="0" applyFont="1" applyProtection="1">
      <alignment vertical="center"/>
      <protection hidden="1"/>
    </xf>
    <xf numFmtId="0" fontId="30" fillId="0" borderId="0" xfId="0" applyFont="1" applyProtection="1">
      <alignment vertical="center"/>
      <protection hidden="1"/>
    </xf>
    <xf numFmtId="38" fontId="8" fillId="0" borderId="0" xfId="1" applyFont="1" applyFill="1" applyProtection="1">
      <alignment vertical="center"/>
      <protection hidden="1"/>
    </xf>
    <xf numFmtId="176" fontId="4" fillId="0" borderId="0" xfId="1" applyNumberFormat="1" applyFont="1" applyFill="1" applyAlignment="1" applyProtection="1">
      <alignment vertical="center"/>
      <protection hidden="1"/>
    </xf>
    <xf numFmtId="38" fontId="20" fillId="0" borderId="0" xfId="1" applyFont="1" applyFill="1" applyProtection="1">
      <alignment vertical="center"/>
      <protection hidden="1"/>
    </xf>
    <xf numFmtId="38" fontId="3" fillId="0" borderId="0" xfId="1" applyFont="1" applyFill="1" applyBorder="1" applyAlignment="1" applyProtection="1">
      <alignment horizontal="right" vertical="center"/>
      <protection hidden="1"/>
    </xf>
    <xf numFmtId="176" fontId="4" fillId="0" borderId="0" xfId="1" applyNumberFormat="1" applyFont="1" applyFill="1" applyBorder="1" applyAlignment="1" applyProtection="1">
      <alignment vertical="center"/>
      <protection hidden="1"/>
    </xf>
    <xf numFmtId="176" fontId="4"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left" vertical="center"/>
      <protection hidden="1"/>
    </xf>
    <xf numFmtId="180" fontId="4" fillId="0" borderId="0" xfId="1" applyNumberFormat="1" applyFont="1" applyFill="1" applyBorder="1" applyAlignment="1" applyProtection="1">
      <alignment vertical="center"/>
      <protection hidden="1"/>
    </xf>
    <xf numFmtId="176" fontId="3" fillId="0" borderId="0" xfId="1" applyNumberFormat="1" applyFont="1" applyFill="1" applyBorder="1" applyAlignment="1" applyProtection="1">
      <alignment vertical="center"/>
      <protection hidden="1"/>
    </xf>
    <xf numFmtId="38" fontId="3" fillId="0" borderId="0" xfId="1" applyFont="1" applyFill="1" applyAlignment="1" applyProtection="1">
      <alignment vertical="top"/>
      <protection hidden="1"/>
    </xf>
    <xf numFmtId="38" fontId="3" fillId="0" borderId="0" xfId="1" applyFont="1" applyFill="1" applyAlignment="1" applyProtection="1">
      <protection hidden="1"/>
    </xf>
    <xf numFmtId="38" fontId="21" fillId="0" borderId="0" xfId="1" applyFont="1" applyFill="1" applyAlignment="1" applyProtection="1">
      <alignment vertical="center"/>
      <protection hidden="1"/>
    </xf>
    <xf numFmtId="38" fontId="4" fillId="0" borderId="6" xfId="1" applyFont="1" applyFill="1" applyBorder="1" applyProtection="1">
      <alignment vertical="center"/>
      <protection hidden="1"/>
    </xf>
    <xf numFmtId="38" fontId="3" fillId="0" borderId="4" xfId="1" applyFont="1" applyFill="1" applyBorder="1" applyProtection="1">
      <alignment vertical="center"/>
      <protection hidden="1"/>
    </xf>
    <xf numFmtId="38" fontId="4" fillId="0" borderId="4" xfId="1" applyFont="1" applyFill="1" applyBorder="1" applyAlignment="1" applyProtection="1">
      <alignment horizontal="left" vertical="center"/>
      <protection hidden="1"/>
    </xf>
    <xf numFmtId="176" fontId="4" fillId="0" borderId="4" xfId="1" applyNumberFormat="1" applyFont="1" applyFill="1" applyBorder="1" applyAlignment="1" applyProtection="1">
      <alignment vertical="center"/>
      <protection hidden="1"/>
    </xf>
    <xf numFmtId="176" fontId="20" fillId="0" borderId="4" xfId="1" applyNumberFormat="1" applyFont="1" applyFill="1" applyBorder="1" applyAlignment="1" applyProtection="1">
      <alignment vertical="center"/>
      <protection hidden="1"/>
    </xf>
    <xf numFmtId="180" fontId="35" fillId="0" borderId="0" xfId="1" applyNumberFormat="1" applyFont="1" applyFill="1" applyAlignment="1" applyProtection="1">
      <alignment vertical="center"/>
      <protection hidden="1"/>
    </xf>
    <xf numFmtId="180" fontId="35" fillId="0" borderId="0" xfId="1" applyNumberFormat="1" applyFont="1" applyFill="1" applyAlignment="1" applyProtection="1">
      <alignment vertical="center" wrapText="1"/>
      <protection hidden="1"/>
    </xf>
    <xf numFmtId="180" fontId="34" fillId="0" borderId="0" xfId="1" applyNumberFormat="1" applyFont="1" applyFill="1" applyAlignment="1" applyProtection="1">
      <alignment vertical="center" wrapText="1"/>
      <protection hidden="1"/>
    </xf>
    <xf numFmtId="38" fontId="13" fillId="0" borderId="0" xfId="1" applyFont="1" applyFill="1" applyAlignment="1" applyProtection="1">
      <alignment vertical="top"/>
      <protection locked="0" hidden="1"/>
    </xf>
    <xf numFmtId="38" fontId="12" fillId="0" borderId="0" xfId="1" applyFont="1" applyFill="1" applyProtection="1">
      <alignment vertical="center"/>
      <protection hidden="1"/>
    </xf>
    <xf numFmtId="6" fontId="4" fillId="0" borderId="0" xfId="2" applyFont="1" applyFill="1" applyBorder="1" applyProtection="1">
      <alignment vertical="center"/>
      <protection hidden="1"/>
    </xf>
    <xf numFmtId="38" fontId="9" fillId="0" borderId="0" xfId="1" applyFont="1" applyFill="1" applyBorder="1" applyAlignment="1" applyProtection="1">
      <alignment vertical="center"/>
      <protection hidden="1"/>
    </xf>
    <xf numFmtId="38" fontId="16" fillId="0" borderId="0" xfId="1" applyFont="1" applyFill="1" applyProtection="1">
      <alignment vertical="center"/>
      <protection hidden="1"/>
    </xf>
    <xf numFmtId="38" fontId="23" fillId="0" borderId="0" xfId="1" applyFont="1" applyFill="1" applyBorder="1" applyAlignment="1" applyProtection="1">
      <alignment vertical="center"/>
      <protection hidden="1"/>
    </xf>
    <xf numFmtId="186" fontId="4" fillId="0" borderId="0" xfId="1" applyNumberFormat="1" applyFont="1" applyFill="1" applyAlignment="1" applyProtection="1">
      <alignment horizontal="right" vertical="center"/>
      <protection hidden="1"/>
    </xf>
    <xf numFmtId="181" fontId="4" fillId="0" borderId="0" xfId="1" applyNumberFormat="1" applyFont="1" applyFill="1" applyAlignment="1" applyProtection="1">
      <alignment vertical="center"/>
      <protection hidden="1"/>
    </xf>
    <xf numFmtId="38" fontId="23" fillId="0" borderId="0" xfId="1" applyFont="1" applyFill="1" applyAlignment="1" applyProtection="1">
      <alignment vertical="center"/>
      <protection hidden="1"/>
    </xf>
    <xf numFmtId="186" fontId="4" fillId="0" borderId="0" xfId="1" applyNumberFormat="1" applyFont="1" applyFill="1" applyProtection="1">
      <alignment vertical="center"/>
      <protection hidden="1"/>
    </xf>
    <xf numFmtId="186" fontId="4" fillId="0" borderId="0" xfId="1" applyNumberFormat="1" applyFont="1" applyFill="1" applyAlignment="1" applyProtection="1">
      <alignment horizontal="left" vertical="center"/>
      <protection hidden="1"/>
    </xf>
    <xf numFmtId="0" fontId="17" fillId="0" borderId="0" xfId="0" applyFont="1" applyProtection="1">
      <alignment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horizontal="center"/>
      <protection hidden="1"/>
    </xf>
    <xf numFmtId="0" fontId="16" fillId="0" borderId="0" xfId="0" applyFont="1" applyProtection="1">
      <alignment vertical="center"/>
      <protection hidden="1"/>
    </xf>
    <xf numFmtId="0" fontId="28" fillId="0" borderId="0" xfId="0" applyFont="1" applyProtection="1">
      <alignment vertical="center"/>
      <protection hidden="1"/>
    </xf>
    <xf numFmtId="38" fontId="11" fillId="0" borderId="0" xfId="1" applyFont="1" applyFill="1" applyProtection="1">
      <alignment vertical="center"/>
      <protection hidden="1"/>
    </xf>
    <xf numFmtId="38" fontId="5" fillId="0" borderId="0" xfId="1" applyFont="1" applyFill="1" applyProtection="1">
      <alignment vertical="center"/>
      <protection hidden="1"/>
    </xf>
    <xf numFmtId="176" fontId="5" fillId="0" borderId="0" xfId="1" applyNumberFormat="1" applyFont="1" applyFill="1" applyAlignment="1" applyProtection="1">
      <alignment vertical="center"/>
      <protection hidden="1"/>
    </xf>
    <xf numFmtId="38" fontId="3" fillId="0" borderId="0" xfId="1" applyFont="1" applyFill="1" applyBorder="1" applyProtection="1">
      <alignment vertical="center"/>
      <protection locked="0" hidden="1"/>
    </xf>
    <xf numFmtId="38" fontId="29" fillId="0" borderId="0" xfId="1" applyFont="1" applyFill="1" applyProtection="1">
      <alignment vertical="center"/>
      <protection locked="0" hidden="1"/>
    </xf>
    <xf numFmtId="38" fontId="29" fillId="0" borderId="0" xfId="1" applyFont="1" applyFill="1" applyBorder="1" applyProtection="1">
      <alignment vertical="center"/>
      <protection locked="0" hidden="1"/>
    </xf>
    <xf numFmtId="38" fontId="3" fillId="0" borderId="0" xfId="1" quotePrefix="1" applyFont="1" applyFill="1" applyProtection="1">
      <alignment vertical="center"/>
      <protection locked="0" hidden="1"/>
    </xf>
    <xf numFmtId="38" fontId="32" fillId="0" borderId="0" xfId="1" applyFont="1" applyFill="1" applyAlignment="1" applyProtection="1">
      <alignment horizontal="center" vertical="center"/>
      <protection hidden="1"/>
    </xf>
    <xf numFmtId="38" fontId="33" fillId="0" borderId="0" xfId="1" applyFont="1" applyFill="1" applyAlignment="1" applyProtection="1">
      <alignment horizontal="center" vertical="center"/>
      <protection hidden="1"/>
    </xf>
    <xf numFmtId="38" fontId="33" fillId="0" borderId="0" xfId="1" applyFont="1" applyFill="1" applyAlignment="1" applyProtection="1">
      <alignment horizontal="left" vertical="center"/>
      <protection hidden="1"/>
    </xf>
    <xf numFmtId="38" fontId="13" fillId="0" borderId="0" xfId="1" applyFont="1" applyFill="1" applyAlignment="1" applyProtection="1">
      <alignment vertical="center"/>
      <protection hidden="1"/>
    </xf>
    <xf numFmtId="38" fontId="32" fillId="0" borderId="0" xfId="1" applyFont="1" applyFill="1" applyAlignment="1" applyProtection="1">
      <alignment horizontal="left" vertical="center"/>
      <protection hidden="1"/>
    </xf>
    <xf numFmtId="38" fontId="3" fillId="0" borderId="0" xfId="1" applyFont="1" applyFill="1" applyAlignment="1" applyProtection="1">
      <alignment vertical="center"/>
      <protection locked="0" hidden="1"/>
    </xf>
    <xf numFmtId="186" fontId="3" fillId="0" borderId="0" xfId="1" applyNumberFormat="1" applyFont="1" applyFill="1" applyAlignment="1" applyProtection="1">
      <alignment horizontal="right" vertical="center"/>
      <protection locked="0" hidden="1"/>
    </xf>
    <xf numFmtId="186" fontId="3" fillId="0" borderId="0" xfId="1" applyNumberFormat="1" applyFont="1" applyFill="1" applyAlignment="1" applyProtection="1">
      <alignment horizontal="left" vertical="center"/>
      <protection locked="0" hidden="1"/>
    </xf>
    <xf numFmtId="186" fontId="3" fillId="0" borderId="0" xfId="1" applyNumberFormat="1" applyFont="1" applyFill="1" applyProtection="1">
      <alignment vertical="center"/>
      <protection locked="0" hidden="1"/>
    </xf>
    <xf numFmtId="38" fontId="7" fillId="0" borderId="0" xfId="1" applyFont="1" applyFill="1" applyProtection="1">
      <alignment vertical="center"/>
      <protection locked="0" hidden="1"/>
    </xf>
    <xf numFmtId="38" fontId="37" fillId="0" borderId="0" xfId="1" applyFont="1" applyFill="1" applyAlignment="1" applyProtection="1">
      <alignment vertical="center"/>
      <protection hidden="1"/>
    </xf>
    <xf numFmtId="38" fontId="4" fillId="0" borderId="0" xfId="1" applyFont="1" applyFill="1" applyAlignment="1" applyProtection="1">
      <alignment horizontal="center" vertical="center"/>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38" fontId="4" fillId="0" borderId="0" xfId="1" applyFont="1" applyFill="1" applyAlignment="1" applyProtection="1">
      <alignment horizontal="right" vertical="center"/>
      <protection hidden="1"/>
    </xf>
    <xf numFmtId="38" fontId="23" fillId="0" borderId="0" xfId="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38" fontId="18" fillId="0" borderId="0" xfId="1" applyFont="1" applyFill="1" applyAlignment="1" applyProtection="1">
      <alignment horizontal="center" vertical="center"/>
      <protection hidden="1"/>
    </xf>
    <xf numFmtId="38" fontId="4" fillId="0" borderId="0" xfId="1" applyFont="1" applyFill="1" applyBorder="1" applyAlignment="1" applyProtection="1">
      <alignment horizontal="center" vertic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176" fontId="3" fillId="0" borderId="0" xfId="1" applyNumberFormat="1" applyFont="1" applyFill="1" applyAlignment="1" applyProtection="1">
      <alignment horizontal="center" vertical="center"/>
      <protection hidden="1"/>
    </xf>
    <xf numFmtId="176" fontId="10"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protection hidden="1"/>
    </xf>
    <xf numFmtId="38" fontId="5" fillId="0" borderId="0" xfId="1" applyFont="1" applyFill="1" applyAlignment="1" applyProtection="1">
      <alignment horizontal="left" vertical="center"/>
      <protection hidden="1"/>
    </xf>
    <xf numFmtId="38" fontId="3" fillId="0" borderId="0" xfId="1" applyFont="1" applyFill="1" applyAlignment="1" applyProtection="1">
      <alignment horizontal="center" vertical="center"/>
      <protection hidden="1"/>
    </xf>
    <xf numFmtId="38" fontId="3" fillId="0" borderId="0" xfId="1" applyFont="1" applyFill="1" applyAlignment="1" applyProtection="1">
      <alignment horizontal="left" vertical="top"/>
      <protection hidden="1"/>
    </xf>
    <xf numFmtId="38" fontId="20" fillId="0" borderId="0" xfId="1" applyFont="1" applyFill="1" applyAlignment="1" applyProtection="1">
      <alignment horizontal="left" vertical="top"/>
      <protection hidden="1"/>
    </xf>
    <xf numFmtId="38" fontId="23" fillId="0" borderId="0" xfId="1" applyFont="1" applyFill="1" applyProtection="1">
      <alignment vertical="center"/>
      <protection locked="0" hidden="1"/>
    </xf>
    <xf numFmtId="38" fontId="23" fillId="0" borderId="0" xfId="1" applyFont="1" applyFill="1" applyBorder="1" applyProtection="1">
      <alignment vertical="center"/>
      <protection locked="0" hidden="1"/>
    </xf>
    <xf numFmtId="38" fontId="38" fillId="0" borderId="0" xfId="1" applyFont="1" applyFill="1" applyAlignment="1" applyProtection="1">
      <alignment vertical="center"/>
      <protection locked="0" hidden="1"/>
    </xf>
    <xf numFmtId="176" fontId="23" fillId="0" borderId="0" xfId="1" applyNumberFormat="1" applyFont="1" applyFill="1" applyAlignment="1" applyProtection="1">
      <alignment horizontal="center" vertical="center"/>
      <protection locked="0" hidden="1"/>
    </xf>
    <xf numFmtId="180" fontId="35" fillId="0" borderId="0" xfId="1" applyNumberFormat="1" applyFont="1" applyFill="1" applyAlignment="1" applyProtection="1">
      <alignment horizontal="left" vertical="center"/>
      <protection hidden="1"/>
    </xf>
    <xf numFmtId="38" fontId="3" fillId="2" borderId="0" xfId="1" applyFont="1" applyFill="1" applyProtection="1">
      <alignment vertical="center"/>
      <protection locked="0" hidden="1"/>
    </xf>
    <xf numFmtId="38" fontId="7" fillId="2" borderId="0" xfId="1" applyFont="1" applyFill="1" applyProtection="1">
      <alignment vertical="center"/>
      <protection locked="0" hidden="1"/>
    </xf>
    <xf numFmtId="176" fontId="39" fillId="0" borderId="0" xfId="1" applyNumberFormat="1" applyFont="1" applyFill="1" applyBorder="1" applyAlignment="1" applyProtection="1">
      <alignment vertical="center"/>
      <protection hidden="1"/>
    </xf>
    <xf numFmtId="38" fontId="7" fillId="0" borderId="0" xfId="1" applyFont="1" applyFill="1" applyAlignment="1" applyProtection="1">
      <alignment horizontal="center" vertical="center"/>
      <protection locked="0" hidden="1"/>
    </xf>
    <xf numFmtId="38" fontId="7" fillId="0" borderId="0" xfId="1" applyFont="1" applyFill="1" applyBorder="1" applyProtection="1">
      <alignment vertical="center"/>
      <protection locked="0" hidden="1"/>
    </xf>
    <xf numFmtId="38" fontId="40" fillId="0" borderId="0" xfId="1" applyFont="1" applyFill="1" applyAlignment="1" applyProtection="1">
      <alignment horizontal="left" vertical="center"/>
      <protection locked="0" hidden="1"/>
    </xf>
    <xf numFmtId="38" fontId="3" fillId="0" borderId="0" xfId="1" applyFont="1" applyFill="1" applyAlignment="1" applyProtection="1">
      <alignment horizontal="center" vertical="center" textRotation="255"/>
      <protection locked="0" hidden="1"/>
    </xf>
    <xf numFmtId="178" fontId="3" fillId="0" borderId="0" xfId="1" applyNumberFormat="1" applyFont="1" applyFill="1" applyAlignment="1" applyProtection="1">
      <alignment vertical="center"/>
      <protection locked="0" hidden="1"/>
    </xf>
    <xf numFmtId="38" fontId="3" fillId="0" borderId="0" xfId="1" applyFont="1" applyFill="1" applyBorder="1" applyAlignment="1" applyProtection="1">
      <alignment vertical="center"/>
      <protection locked="0" hidden="1"/>
    </xf>
    <xf numFmtId="38" fontId="36" fillId="0" borderId="0" xfId="1" applyFont="1" applyFill="1" applyAlignment="1" applyProtection="1">
      <alignment vertical="center"/>
      <protection locked="0" hidden="1"/>
    </xf>
    <xf numFmtId="38" fontId="4" fillId="0" borderId="0" xfId="1" applyFont="1" applyFill="1" applyProtection="1">
      <alignment vertical="center"/>
    </xf>
    <xf numFmtId="38" fontId="4" fillId="0" borderId="0" xfId="1" applyFont="1" applyFill="1" applyAlignment="1" applyProtection="1">
      <alignment horizontal="center" vertical="center"/>
      <protection locked="0" hidden="1"/>
    </xf>
    <xf numFmtId="38" fontId="25" fillId="0" borderId="0" xfId="1" applyFont="1" applyFill="1" applyAlignment="1" applyProtection="1">
      <alignment vertical="top"/>
      <protection locked="0" hidden="1"/>
    </xf>
    <xf numFmtId="38" fontId="5" fillId="0" borderId="0" xfId="1" applyFont="1" applyFill="1" applyBorder="1" applyProtection="1">
      <alignment vertical="center"/>
      <protection locked="0" hidden="1"/>
    </xf>
    <xf numFmtId="38" fontId="4" fillId="0" borderId="0" xfId="1" applyFont="1" applyFill="1" applyBorder="1" applyProtection="1">
      <alignment vertical="center"/>
      <protection locked="0" hidden="1"/>
    </xf>
    <xf numFmtId="177" fontId="4" fillId="0" borderId="0" xfId="1" applyNumberFormat="1" applyFont="1" applyFill="1" applyProtection="1">
      <alignment vertical="center"/>
      <protection locked="0" hidden="1"/>
    </xf>
    <xf numFmtId="38" fontId="4" fillId="0" borderId="0" xfId="1" applyFont="1" applyFill="1" applyAlignment="1" applyProtection="1">
      <alignment horizontal="left" vertical="center"/>
      <protection locked="0" hidden="1"/>
    </xf>
    <xf numFmtId="38" fontId="4" fillId="0" borderId="0" xfId="1" applyFont="1" applyFill="1" applyAlignment="1" applyProtection="1">
      <alignment horizontal="right" vertical="center"/>
      <protection locked="0" hidden="1"/>
    </xf>
    <xf numFmtId="176" fontId="39" fillId="0" borderId="0" xfId="1" applyNumberFormat="1" applyFont="1" applyFill="1" applyBorder="1" applyAlignment="1" applyProtection="1">
      <alignment vertical="center"/>
      <protection locked="0" hidden="1"/>
    </xf>
    <xf numFmtId="38" fontId="39" fillId="0" borderId="0" xfId="1" applyFont="1" applyFill="1" applyBorder="1" applyAlignment="1" applyProtection="1">
      <alignment vertical="center"/>
      <protection locked="0" hidden="1"/>
    </xf>
    <xf numFmtId="180" fontId="4" fillId="0" borderId="0" xfId="1" applyNumberFormat="1" applyFont="1" applyFill="1" applyBorder="1" applyAlignment="1" applyProtection="1">
      <alignment horizontal="center" vertical="center"/>
      <protection hidden="1"/>
    </xf>
    <xf numFmtId="38" fontId="7" fillId="0" borderId="0" xfId="1" applyFont="1" applyFill="1" applyAlignment="1" applyProtection="1">
      <alignment horizontal="center"/>
      <protection hidden="1"/>
    </xf>
    <xf numFmtId="38" fontId="5" fillId="0" borderId="0" xfId="1" applyFont="1" applyFill="1" applyBorder="1" applyAlignment="1" applyProtection="1">
      <alignment horizontal="center" vertical="center"/>
      <protection hidden="1"/>
    </xf>
    <xf numFmtId="38" fontId="3" fillId="0" borderId="0" xfId="1" applyFont="1" applyFill="1" applyBorder="1" applyAlignment="1" applyProtection="1">
      <alignment horizontal="left" vertical="center"/>
      <protection hidden="1"/>
    </xf>
    <xf numFmtId="176" fontId="4" fillId="0" borderId="0" xfId="1" applyNumberFormat="1" applyFont="1" applyFill="1" applyAlignment="1" applyProtection="1">
      <alignment horizontal="left" vertical="center"/>
      <protection hidden="1"/>
    </xf>
    <xf numFmtId="9" fontId="4" fillId="0" borderId="0" xfId="1" applyNumberFormat="1" applyFont="1" applyFill="1" applyAlignment="1" applyProtection="1">
      <alignment vertical="center"/>
      <protection hidden="1"/>
    </xf>
    <xf numFmtId="38" fontId="10" fillId="0" borderId="0" xfId="1" applyFont="1" applyFill="1" applyBorder="1" applyAlignment="1" applyProtection="1">
      <alignment horizontal="right" vertical="center"/>
      <protection hidden="1"/>
    </xf>
    <xf numFmtId="38" fontId="4" fillId="0" borderId="0" xfId="1" applyFont="1" applyFill="1" applyBorder="1" applyAlignment="1" applyProtection="1">
      <alignment horizontal="left" vertical="center"/>
      <protection hidden="1"/>
    </xf>
    <xf numFmtId="38" fontId="21" fillId="0" borderId="0" xfId="1" applyFont="1" applyFill="1" applyAlignment="1" applyProtection="1">
      <alignment horizontal="center" vertical="center"/>
      <protection hidden="1"/>
    </xf>
    <xf numFmtId="38" fontId="19" fillId="0" borderId="0" xfId="1" applyFont="1" applyFill="1" applyAlignment="1" applyProtection="1">
      <alignment horizontal="center" vertical="center"/>
      <protection hidden="1"/>
    </xf>
    <xf numFmtId="180" fontId="34" fillId="0" borderId="0" xfId="1" applyNumberFormat="1" applyFont="1" applyFill="1" applyAlignment="1" applyProtection="1">
      <alignment horizontal="center" vertical="center" wrapText="1"/>
      <protection hidden="1"/>
    </xf>
    <xf numFmtId="38" fontId="10" fillId="0" borderId="0" xfId="1" applyFont="1" applyFill="1" applyBorder="1" applyProtection="1">
      <alignment vertical="center"/>
      <protection hidden="1"/>
    </xf>
    <xf numFmtId="38" fontId="5" fillId="0" borderId="0" xfId="1" applyFont="1" applyFill="1" applyAlignment="1" applyProtection="1">
      <alignment horizontal="right" vertical="center"/>
      <protection locked="0" hidden="1"/>
    </xf>
    <xf numFmtId="38" fontId="14" fillId="0" borderId="0" xfId="1" applyFont="1" applyFill="1" applyProtection="1">
      <alignment vertical="center"/>
      <protection locked="0" hidden="1"/>
    </xf>
    <xf numFmtId="38" fontId="4" fillId="0" borderId="0" xfId="1" quotePrefix="1" applyFont="1" applyFill="1" applyProtection="1">
      <alignment vertical="center"/>
      <protection hidden="1"/>
    </xf>
    <xf numFmtId="38" fontId="5" fillId="0" borderId="0" xfId="1" applyFont="1" applyFill="1" applyProtection="1">
      <alignment vertical="center"/>
      <protection locked="0" hidden="1"/>
    </xf>
    <xf numFmtId="38" fontId="4" fillId="0" borderId="0" xfId="1" quotePrefix="1" applyFont="1" applyFill="1" applyProtection="1">
      <alignment vertical="center"/>
      <protection locked="0" hidden="1"/>
    </xf>
    <xf numFmtId="38" fontId="4" fillId="0" borderId="0" xfId="1" applyFont="1" applyFill="1" applyAlignment="1" applyProtection="1">
      <alignment horizontal="center" vertical="center" textRotation="255"/>
      <protection hidden="1"/>
    </xf>
    <xf numFmtId="38" fontId="4" fillId="0" borderId="0" xfId="1" applyFont="1" applyFill="1" applyBorder="1" applyAlignment="1" applyProtection="1">
      <alignment vertical="center"/>
      <protection locked="0" hidden="1"/>
    </xf>
    <xf numFmtId="38" fontId="41" fillId="0" borderId="0" xfId="1" applyFont="1" applyFill="1" applyAlignment="1" applyProtection="1">
      <alignment vertical="center"/>
      <protection locked="0" hidden="1"/>
    </xf>
    <xf numFmtId="176" fontId="4" fillId="0" borderId="0" xfId="1" applyNumberFormat="1" applyFont="1" applyFill="1" applyAlignment="1" applyProtection="1">
      <alignment horizontal="center" vertical="center"/>
      <protection locked="0" hidden="1"/>
    </xf>
    <xf numFmtId="38" fontId="3" fillId="0" borderId="0" xfId="1" applyFont="1" applyFill="1" applyProtection="1">
      <alignment vertical="center"/>
    </xf>
    <xf numFmtId="38" fontId="7" fillId="0" borderId="4" xfId="1" applyFont="1" applyFill="1" applyBorder="1" applyProtection="1">
      <alignment vertical="center"/>
      <protection hidden="1"/>
    </xf>
    <xf numFmtId="180" fontId="35" fillId="0" borderId="0" xfId="1" applyNumberFormat="1" applyFont="1" applyFill="1" applyAlignment="1" applyProtection="1">
      <alignment horizontal="center" vertical="center"/>
      <protection hidden="1"/>
    </xf>
    <xf numFmtId="9" fontId="7" fillId="0" borderId="0" xfId="1" applyNumberFormat="1" applyFont="1" applyFill="1" applyAlignment="1" applyProtection="1">
      <alignment horizontal="center" vertical="center"/>
      <protection hidden="1"/>
    </xf>
    <xf numFmtId="179" fontId="4" fillId="0" borderId="0" xfId="1" applyNumberFormat="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187" fontId="3" fillId="0" borderId="0" xfId="1" applyNumberFormat="1" applyFont="1" applyFill="1" applyAlignment="1" applyProtection="1">
      <alignment horizontal="left" vertical="center"/>
      <protection locked="0" hidden="1"/>
    </xf>
    <xf numFmtId="176" fontId="6" fillId="0" borderId="0" xfId="1" applyNumberFormat="1" applyFont="1" applyFill="1" applyAlignment="1" applyProtection="1">
      <alignment horizontal="center" vertical="center"/>
      <protection hidden="1"/>
    </xf>
    <xf numFmtId="181" fontId="4"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center" vertical="center"/>
      <protection locked="0" hidden="1"/>
    </xf>
    <xf numFmtId="38" fontId="9" fillId="0" borderId="0" xfId="1" applyFont="1" applyFill="1" applyBorder="1" applyAlignment="1" applyProtection="1">
      <alignment horizontal="center" vertical="center"/>
    </xf>
    <xf numFmtId="176" fontId="5" fillId="0" borderId="0" xfId="1" applyNumberFormat="1" applyFont="1" applyFill="1" applyAlignment="1" applyProtection="1">
      <alignment horizontal="center" vertical="center"/>
      <protection hidden="1"/>
    </xf>
    <xf numFmtId="38" fontId="29" fillId="0" borderId="0" xfId="1" applyFont="1" applyFill="1" applyAlignment="1" applyProtection="1">
      <alignment horizontal="right" vertical="center"/>
      <protection locked="0" hidden="1"/>
    </xf>
    <xf numFmtId="38" fontId="18" fillId="0" borderId="0" xfId="1" applyFont="1" applyFill="1" applyAlignment="1" applyProtection="1">
      <alignment horizontal="left" vertical="center"/>
      <protection hidden="1"/>
    </xf>
    <xf numFmtId="180" fontId="5" fillId="0" borderId="0" xfId="1" applyNumberFormat="1" applyFont="1" applyFill="1" applyBorder="1" applyAlignment="1" applyProtection="1">
      <alignment horizontal="center" vertical="center"/>
      <protection hidden="1"/>
    </xf>
    <xf numFmtId="180" fontId="5" fillId="0" borderId="0" xfId="1" applyNumberFormat="1" applyFont="1" applyFill="1" applyAlignment="1" applyProtection="1">
      <alignment horizontal="center" vertical="center"/>
      <protection hidden="1"/>
    </xf>
    <xf numFmtId="38" fontId="23" fillId="0" borderId="0" xfId="1" applyFont="1" applyFill="1" applyBorder="1" applyProtection="1">
      <alignment vertical="center"/>
      <protection hidden="1"/>
    </xf>
    <xf numFmtId="38" fontId="23" fillId="0" borderId="0" xfId="1" applyFont="1" applyFill="1" applyBorder="1" applyAlignment="1" applyProtection="1">
      <alignment horizontal="right" vertical="center"/>
      <protection hidden="1"/>
    </xf>
    <xf numFmtId="38" fontId="10" fillId="0" borderId="0" xfId="1" applyFont="1" applyFill="1" applyBorder="1" applyProtection="1">
      <alignment vertical="center"/>
    </xf>
    <xf numFmtId="38" fontId="10" fillId="0" borderId="0" xfId="1" applyFont="1" applyFill="1" applyBorder="1" applyAlignment="1" applyProtection="1">
      <alignment horizontal="right" vertical="center"/>
    </xf>
    <xf numFmtId="38" fontId="13" fillId="0" borderId="0" xfId="1" applyFont="1" applyFill="1" applyProtection="1">
      <alignment vertical="center"/>
      <protection hidden="1"/>
    </xf>
    <xf numFmtId="38" fontId="13" fillId="0" borderId="0" xfId="1" applyFont="1" applyFill="1" applyBorder="1" applyAlignment="1" applyProtection="1">
      <alignment vertical="center"/>
      <protection hidden="1"/>
    </xf>
    <xf numFmtId="38" fontId="23" fillId="0" borderId="0" xfId="1" applyFont="1" applyFill="1" applyAlignment="1" applyProtection="1">
      <alignment horizontal="left" vertical="center"/>
      <protection hidden="1"/>
    </xf>
    <xf numFmtId="38" fontId="5" fillId="0" borderId="0" xfId="1" applyFont="1" applyFill="1" applyBorder="1" applyAlignment="1" applyProtection="1">
      <alignment vertical="center"/>
      <protection locked="0" hidden="1"/>
    </xf>
    <xf numFmtId="38" fontId="23" fillId="0" borderId="0" xfId="1" applyFont="1" applyFill="1" applyProtection="1">
      <alignment vertical="center"/>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vertical="center"/>
    </xf>
    <xf numFmtId="0" fontId="0" fillId="0" borderId="5" xfId="0" applyBorder="1" applyAlignment="1">
      <alignment horizontal="center" vertical="center"/>
    </xf>
    <xf numFmtId="0" fontId="0" fillId="0" borderId="5" xfId="0" applyBorder="1">
      <alignment vertical="center"/>
    </xf>
    <xf numFmtId="180" fontId="22" fillId="0" borderId="5" xfId="1" applyNumberFormat="1" applyFont="1" applyBorder="1" applyProtection="1">
      <alignment vertical="center"/>
    </xf>
    <xf numFmtId="180" fontId="22" fillId="0" borderId="5" xfId="1" applyNumberFormat="1" applyFont="1" applyFill="1" applyBorder="1" applyProtection="1">
      <alignment vertical="center"/>
    </xf>
    <xf numFmtId="0" fontId="0" fillId="0" borderId="5" xfId="0" applyBorder="1" applyAlignment="1">
      <alignment horizontal="left" vertical="center" wrapText="1"/>
    </xf>
    <xf numFmtId="38" fontId="4" fillId="0" borderId="0" xfId="1" applyFont="1" applyFill="1" applyAlignment="1" applyProtection="1">
      <alignment horizontal="center" vertical="center"/>
      <protection hidden="1"/>
    </xf>
    <xf numFmtId="38" fontId="4" fillId="0" borderId="0" xfId="1" applyFont="1" applyFill="1" applyAlignment="1" applyProtection="1">
      <alignment horizontal="right" vertical="center"/>
      <protection hidden="1"/>
    </xf>
    <xf numFmtId="176" fontId="4" fillId="0" borderId="0" xfId="1" applyNumberFormat="1" applyFont="1" applyFill="1" applyAlignment="1" applyProtection="1">
      <alignment horizontal="center" vertical="center"/>
      <protection hidden="1"/>
    </xf>
    <xf numFmtId="9" fontId="4" fillId="0" borderId="0" xfId="1" applyNumberFormat="1" applyFont="1" applyFill="1" applyAlignment="1" applyProtection="1">
      <alignment horizontal="center" vertical="center"/>
      <protection hidden="1"/>
    </xf>
    <xf numFmtId="178" fontId="4" fillId="0" borderId="0" xfId="1" applyNumberFormat="1" applyFont="1" applyFill="1" applyAlignment="1" applyProtection="1">
      <alignment horizontal="center" vertical="center"/>
      <protection hidden="1"/>
    </xf>
    <xf numFmtId="180" fontId="4" fillId="0" borderId="0" xfId="1" applyNumberFormat="1" applyFont="1" applyFill="1" applyBorder="1" applyAlignment="1" applyProtection="1">
      <alignment horizontal="center" vertical="center"/>
      <protection hidden="1"/>
    </xf>
    <xf numFmtId="38" fontId="3" fillId="0" borderId="0" xfId="1" applyFont="1" applyFill="1" applyAlignment="1" applyProtection="1">
      <alignment horizontal="center" vertical="top"/>
      <protection hidden="1"/>
    </xf>
    <xf numFmtId="38" fontId="24" fillId="0" borderId="1" xfId="1" applyFont="1" applyFill="1" applyBorder="1" applyAlignment="1" applyProtection="1">
      <alignment horizontal="center" vertical="center"/>
      <protection locked="0" hidden="1"/>
    </xf>
    <xf numFmtId="38" fontId="24" fillId="0" borderId="3" xfId="1" applyFont="1" applyFill="1" applyBorder="1" applyAlignment="1" applyProtection="1">
      <alignment horizontal="center" vertical="center"/>
      <protection locked="0" hidden="1"/>
    </xf>
    <xf numFmtId="38" fontId="23" fillId="0" borderId="0" xfId="1" applyFont="1" applyFill="1" applyAlignment="1" applyProtection="1">
      <alignment horizontal="center" vertical="center"/>
      <protection hidden="1"/>
    </xf>
    <xf numFmtId="180" fontId="4" fillId="0" borderId="0" xfId="1" applyNumberFormat="1" applyFont="1" applyFill="1" applyAlignment="1" applyProtection="1">
      <alignment horizontal="center" vertical="center"/>
      <protection hidden="1"/>
    </xf>
    <xf numFmtId="38" fontId="10" fillId="0" borderId="0" xfId="1" applyFont="1" applyFill="1" applyBorder="1" applyAlignment="1" applyProtection="1">
      <alignment horizontal="center" vertical="center"/>
    </xf>
    <xf numFmtId="180" fontId="35" fillId="0" borderId="0" xfId="1" applyNumberFormat="1" applyFont="1" applyFill="1" applyAlignment="1" applyProtection="1">
      <alignment horizontal="left" vertical="center" wrapText="1"/>
      <protection hidden="1"/>
    </xf>
    <xf numFmtId="180" fontId="35" fillId="0" borderId="0" xfId="1" applyNumberFormat="1" applyFont="1" applyFill="1" applyAlignment="1" applyProtection="1">
      <alignment horizontal="right" vertical="center" wrapText="1"/>
      <protection hidden="1"/>
    </xf>
    <xf numFmtId="38" fontId="4" fillId="0" borderId="0" xfId="1" applyFont="1" applyFill="1" applyBorder="1" applyAlignment="1" applyProtection="1">
      <alignment horizontal="right" vertical="center"/>
      <protection hidden="1"/>
    </xf>
    <xf numFmtId="38" fontId="4" fillId="0" borderId="4" xfId="1" applyFont="1" applyFill="1" applyBorder="1" applyAlignment="1" applyProtection="1">
      <alignment horizontal="right" vertical="center"/>
      <protection hidden="1"/>
    </xf>
    <xf numFmtId="176" fontId="4" fillId="0" borderId="7" xfId="1" applyNumberFormat="1" applyFont="1" applyFill="1" applyBorder="1" applyAlignment="1" applyProtection="1">
      <alignment horizontal="right" vertical="center"/>
      <protection hidden="1"/>
    </xf>
    <xf numFmtId="176" fontId="4" fillId="0" borderId="4" xfId="1" applyNumberFormat="1" applyFont="1" applyFill="1" applyBorder="1" applyAlignment="1" applyProtection="1">
      <alignment horizontal="right" vertical="center"/>
      <protection hidden="1"/>
    </xf>
    <xf numFmtId="176" fontId="4" fillId="0" borderId="0" xfId="1" applyNumberFormat="1" applyFont="1" applyFill="1" applyAlignment="1" applyProtection="1">
      <alignment horizontal="right" vertical="center"/>
      <protection hidden="1"/>
    </xf>
    <xf numFmtId="176" fontId="7" fillId="0" borderId="0" xfId="1" applyNumberFormat="1" applyFont="1" applyFill="1" applyAlignment="1" applyProtection="1">
      <alignment horizontal="center" vertical="center"/>
      <protection hidden="1"/>
    </xf>
    <xf numFmtId="176" fontId="7" fillId="0" borderId="4" xfId="1" applyNumberFormat="1" applyFont="1" applyFill="1" applyBorder="1" applyAlignment="1" applyProtection="1">
      <alignment horizontal="center" vertical="center"/>
      <protection hidden="1"/>
    </xf>
    <xf numFmtId="180" fontId="7" fillId="0" borderId="0" xfId="1" applyNumberFormat="1" applyFont="1" applyFill="1" applyAlignment="1" applyProtection="1">
      <alignment horizontal="center" vertical="center"/>
      <protection hidden="1"/>
    </xf>
    <xf numFmtId="180" fontId="7" fillId="0" borderId="4" xfId="1" applyNumberFormat="1" applyFont="1" applyFill="1" applyBorder="1" applyAlignment="1" applyProtection="1">
      <alignment horizontal="center" vertical="center"/>
      <protection hidden="1"/>
    </xf>
    <xf numFmtId="176" fontId="24" fillId="0" borderId="0" xfId="1" applyNumberFormat="1" applyFont="1" applyFill="1" applyAlignment="1" applyProtection="1">
      <alignment horizontal="center" vertical="center"/>
      <protection hidden="1"/>
    </xf>
    <xf numFmtId="9" fontId="7" fillId="0" borderId="0" xfId="1" applyNumberFormat="1" applyFont="1" applyFill="1" applyAlignment="1" applyProtection="1">
      <alignment horizontal="center" vertical="center"/>
      <protection hidden="1"/>
    </xf>
    <xf numFmtId="38" fontId="3" fillId="0" borderId="0" xfId="1" applyFont="1" applyFill="1" applyBorder="1" applyAlignment="1" applyProtection="1">
      <alignment vertical="center"/>
      <protection hidden="1"/>
    </xf>
    <xf numFmtId="179" fontId="4"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right" vertical="center" shrinkToFit="1"/>
      <protection hidden="1"/>
    </xf>
    <xf numFmtId="38" fontId="24" fillId="0" borderId="0" xfId="1" applyFont="1" applyFill="1" applyBorder="1" applyAlignment="1" applyProtection="1">
      <alignment horizontal="center" vertical="center"/>
    </xf>
    <xf numFmtId="183" fontId="19" fillId="0" borderId="1" xfId="1" applyNumberFormat="1" applyFont="1" applyFill="1" applyBorder="1" applyAlignment="1" applyProtection="1">
      <alignment horizontal="center" vertical="center"/>
      <protection locked="0" hidden="1"/>
    </xf>
    <xf numFmtId="183" fontId="19" fillId="0" borderId="3" xfId="1" applyNumberFormat="1" applyFont="1" applyFill="1" applyBorder="1" applyAlignment="1" applyProtection="1">
      <alignment horizontal="center" vertical="center"/>
      <protection locked="0" hidden="1"/>
    </xf>
    <xf numFmtId="38" fontId="19" fillId="0" borderId="1" xfId="1" applyFont="1" applyFill="1" applyBorder="1" applyAlignment="1" applyProtection="1">
      <alignment horizontal="center" vertical="center"/>
      <protection locked="0" hidden="1"/>
    </xf>
    <xf numFmtId="38" fontId="19" fillId="0" borderId="3" xfId="1" applyFont="1" applyFill="1" applyBorder="1" applyAlignment="1" applyProtection="1">
      <alignment horizontal="center" vertical="center"/>
      <protection locked="0" hidden="1"/>
    </xf>
    <xf numFmtId="38" fontId="4" fillId="0" borderId="0" xfId="1" applyFont="1" applyFill="1" applyBorder="1" applyAlignment="1" applyProtection="1">
      <alignment horizontal="center" vertical="center"/>
      <protection hidden="1"/>
    </xf>
    <xf numFmtId="183" fontId="4" fillId="0" borderId="0" xfId="1" applyNumberFormat="1" applyFont="1" applyFill="1" applyBorder="1" applyAlignment="1" applyProtection="1">
      <alignment horizontal="center" vertical="center"/>
      <protection hidden="1"/>
    </xf>
    <xf numFmtId="38" fontId="30" fillId="0" borderId="0" xfId="1" applyFont="1" applyFill="1" applyBorder="1" applyAlignment="1" applyProtection="1">
      <alignment horizontal="center" vertical="top"/>
      <protection hidden="1"/>
    </xf>
    <xf numFmtId="38" fontId="19" fillId="0" borderId="2" xfId="1" applyFont="1" applyFill="1" applyBorder="1" applyAlignment="1" applyProtection="1">
      <alignment horizontal="center" vertical="center"/>
      <protection locked="0" hidden="1"/>
    </xf>
    <xf numFmtId="176" fontId="10" fillId="0" borderId="0" xfId="1" applyNumberFormat="1" applyFont="1" applyFill="1" applyAlignment="1" applyProtection="1">
      <alignment horizontal="center" vertical="center"/>
      <protection hidden="1"/>
    </xf>
    <xf numFmtId="38" fontId="7" fillId="0" borderId="0" xfId="1" applyFont="1" applyFill="1" applyAlignment="1" applyProtection="1">
      <alignment horizontal="center"/>
      <protection hidden="1"/>
    </xf>
    <xf numFmtId="38" fontId="4" fillId="0" borderId="0" xfId="1" applyFont="1" applyFill="1" applyAlignment="1" applyProtection="1">
      <alignment horizontal="left" vertical="center"/>
      <protection hidden="1"/>
    </xf>
    <xf numFmtId="38" fontId="7" fillId="0" borderId="0" xfId="1" applyFont="1" applyFill="1" applyAlignment="1" applyProtection="1">
      <alignment horizontal="center" vertical="center"/>
      <protection hidden="1"/>
    </xf>
    <xf numFmtId="9" fontId="10" fillId="0" borderId="0" xfId="1" applyNumberFormat="1" applyFont="1" applyFill="1" applyAlignment="1" applyProtection="1">
      <alignment horizontal="center" vertical="center"/>
      <protection hidden="1"/>
    </xf>
    <xf numFmtId="176" fontId="4" fillId="0" borderId="0" xfId="1" applyNumberFormat="1" applyFont="1" applyFill="1" applyBorder="1" applyAlignment="1" applyProtection="1">
      <alignment horizontal="center" vertical="center"/>
      <protection hidden="1"/>
    </xf>
    <xf numFmtId="38" fontId="20" fillId="0" borderId="0" xfId="1" applyFont="1" applyFill="1" applyAlignment="1" applyProtection="1">
      <alignment horizontal="center" vertical="center"/>
      <protection hidden="1"/>
    </xf>
    <xf numFmtId="178" fontId="7" fillId="0" borderId="0" xfId="1" applyNumberFormat="1" applyFont="1" applyFill="1" applyBorder="1" applyAlignment="1" applyProtection="1">
      <alignment horizontal="center" vertical="center"/>
      <protection hidden="1"/>
    </xf>
    <xf numFmtId="38" fontId="18" fillId="0" borderId="0" xfId="1" applyFont="1" applyFill="1" applyAlignment="1" applyProtection="1">
      <alignment horizontal="center" vertical="center"/>
      <protection hidden="1"/>
    </xf>
    <xf numFmtId="38" fontId="20" fillId="0" borderId="0" xfId="1" applyFont="1" applyFill="1" applyAlignment="1" applyProtection="1">
      <alignment horizontal="left" vertical="center"/>
      <protection hidden="1"/>
    </xf>
    <xf numFmtId="38" fontId="5" fillId="0" borderId="0" xfId="1" applyFont="1" applyFill="1" applyAlignment="1" applyProtection="1">
      <alignment horizontal="right" vertical="center"/>
      <protection locked="0" hidden="1"/>
    </xf>
    <xf numFmtId="176" fontId="5" fillId="0" borderId="0" xfId="1" applyNumberFormat="1" applyFont="1" applyFill="1" applyAlignment="1" applyProtection="1">
      <alignment horizontal="center" vertical="center"/>
      <protection hidden="1"/>
    </xf>
    <xf numFmtId="38" fontId="7" fillId="0" borderId="0" xfId="1" applyFont="1" applyFill="1" applyAlignment="1" applyProtection="1">
      <alignment horizontal="right" vertical="center"/>
      <protection hidden="1"/>
    </xf>
    <xf numFmtId="176" fontId="23" fillId="0" borderId="0" xfId="1" applyNumberFormat="1" applyFont="1" applyFill="1" applyAlignment="1" applyProtection="1">
      <alignment horizontal="center" vertical="center"/>
      <protection hidden="1"/>
    </xf>
    <xf numFmtId="38" fontId="3" fillId="0" borderId="0" xfId="1" applyFont="1" applyFill="1" applyAlignment="1" applyProtection="1">
      <alignment horizontal="left" vertical="top"/>
      <protection hidden="1"/>
    </xf>
    <xf numFmtId="38" fontId="3" fillId="0" borderId="0" xfId="1" applyFont="1" applyFill="1" applyAlignment="1" applyProtection="1">
      <alignment horizontal="center"/>
      <protection hidden="1"/>
    </xf>
    <xf numFmtId="180" fontId="5" fillId="0" borderId="0" xfId="1" applyNumberFormat="1" applyFont="1" applyFill="1" applyAlignment="1" applyProtection="1">
      <alignment horizontal="center" vertical="center"/>
      <protection hidden="1"/>
    </xf>
    <xf numFmtId="176" fontId="4" fillId="0" borderId="0" xfId="1" applyNumberFormat="1" applyFont="1" applyFill="1" applyAlignment="1" applyProtection="1">
      <alignment horizontal="center" vertical="center"/>
    </xf>
    <xf numFmtId="9" fontId="4" fillId="0" borderId="0" xfId="1" applyNumberFormat="1" applyFont="1" applyFill="1" applyAlignment="1" applyProtection="1">
      <alignment horizontal="center" vertical="center"/>
    </xf>
    <xf numFmtId="180" fontId="5" fillId="0" borderId="0" xfId="1" applyNumberFormat="1" applyFont="1" applyFill="1" applyAlignment="1" applyProtection="1">
      <alignment horizontal="center" vertical="center"/>
    </xf>
    <xf numFmtId="38" fontId="43" fillId="0" borderId="0" xfId="1" applyFont="1" applyFill="1" applyBorder="1" applyAlignment="1" applyProtection="1">
      <alignment horizontal="center" vertical="center"/>
    </xf>
    <xf numFmtId="38" fontId="9" fillId="0" borderId="1" xfId="1" applyFont="1" applyFill="1" applyBorder="1" applyAlignment="1" applyProtection="1">
      <alignment horizontal="center" vertical="center"/>
      <protection locked="0"/>
    </xf>
    <xf numFmtId="38" fontId="9" fillId="0" borderId="3" xfId="1" applyFont="1" applyFill="1" applyBorder="1" applyAlignment="1" applyProtection="1">
      <alignment horizontal="center" vertical="center"/>
      <protection locked="0"/>
    </xf>
    <xf numFmtId="38" fontId="3" fillId="0" borderId="0" xfId="1" applyFont="1" applyFill="1" applyAlignment="1" applyProtection="1">
      <alignment horizontal="left" vertical="center"/>
      <protection hidden="1"/>
    </xf>
    <xf numFmtId="0" fontId="0" fillId="0" borderId="0" xfId="0" applyAlignment="1">
      <alignment horizontal="left" vertical="center"/>
    </xf>
    <xf numFmtId="38" fontId="4" fillId="0" borderId="0" xfId="1" applyFont="1" applyFill="1" applyAlignment="1" applyProtection="1">
      <alignment horizontal="center" vertical="center"/>
    </xf>
    <xf numFmtId="180" fontId="5" fillId="0" borderId="0" xfId="1" applyNumberFormat="1" applyFont="1" applyFill="1" applyBorder="1" applyAlignment="1" applyProtection="1">
      <alignment horizontal="center" vertical="center"/>
      <protection hidden="1"/>
    </xf>
    <xf numFmtId="176" fontId="6" fillId="0" borderId="0" xfId="1" applyNumberFormat="1" applyFont="1" applyFill="1" applyAlignment="1" applyProtection="1">
      <alignment horizontal="center" vertical="center"/>
      <protection hidden="1"/>
    </xf>
    <xf numFmtId="38" fontId="9" fillId="0" borderId="0" xfId="1" applyFont="1" applyFill="1" applyBorder="1" applyAlignment="1" applyProtection="1">
      <alignment horizontal="center" vertical="center"/>
    </xf>
    <xf numFmtId="38" fontId="19" fillId="0" borderId="0" xfId="1" applyFont="1" applyFill="1" applyAlignment="1" applyProtection="1">
      <alignment horizontal="left" vertical="center"/>
      <protection hidden="1"/>
    </xf>
    <xf numFmtId="0" fontId="28" fillId="0" borderId="0" xfId="0" applyFont="1" applyAlignment="1" applyProtection="1">
      <alignment horizontal="right" vertical="center"/>
      <protection hidden="1"/>
    </xf>
    <xf numFmtId="18" fontId="3" fillId="0" borderId="0" xfId="1" applyNumberFormat="1" applyFont="1" applyFill="1" applyAlignment="1" applyProtection="1">
      <alignment horizontal="center" vertical="center"/>
      <protection locked="0" hidden="1"/>
    </xf>
    <xf numFmtId="186" fontId="3" fillId="0" borderId="0" xfId="1" applyNumberFormat="1" applyFont="1" applyFill="1" applyAlignment="1" applyProtection="1">
      <alignment horizontal="center" vertical="center"/>
      <protection locked="0" hidden="1"/>
    </xf>
    <xf numFmtId="181" fontId="3" fillId="0" borderId="0" xfId="1" applyNumberFormat="1" applyFont="1" applyFill="1" applyAlignment="1" applyProtection="1">
      <alignment horizontal="center" vertical="center"/>
      <protection locked="0" hidden="1"/>
    </xf>
    <xf numFmtId="176" fontId="42" fillId="0" borderId="0" xfId="1" applyNumberFormat="1" applyFont="1" applyFill="1" applyAlignment="1" applyProtection="1">
      <alignment horizontal="center" vertical="center"/>
      <protection hidden="1"/>
    </xf>
    <xf numFmtId="176" fontId="24" fillId="0" borderId="0" xfId="1" applyNumberFormat="1" applyFont="1" applyFill="1" applyAlignment="1" applyProtection="1">
      <alignment horizontal="left" vertical="center"/>
      <protection hidden="1"/>
    </xf>
    <xf numFmtId="189" fontId="5" fillId="0" borderId="1" xfId="1" applyNumberFormat="1" applyFont="1" applyFill="1" applyBorder="1" applyAlignment="1" applyProtection="1">
      <alignment horizontal="center" vertical="center"/>
      <protection locked="0" hidden="1"/>
    </xf>
    <xf numFmtId="189" fontId="5" fillId="0" borderId="2" xfId="1" applyNumberFormat="1" applyFont="1" applyFill="1" applyBorder="1" applyAlignment="1" applyProtection="1">
      <alignment horizontal="center" vertical="center"/>
      <protection locked="0" hidden="1"/>
    </xf>
    <xf numFmtId="189" fontId="5" fillId="0" borderId="3" xfId="1" applyNumberFormat="1" applyFont="1" applyFill="1" applyBorder="1" applyAlignment="1" applyProtection="1">
      <alignment horizontal="center" vertical="center"/>
      <protection locked="0" hidden="1"/>
    </xf>
    <xf numFmtId="38" fontId="15" fillId="0" borderId="0" xfId="1" applyFont="1" applyFill="1" applyAlignment="1" applyProtection="1">
      <alignment horizontal="center" vertical="center"/>
      <protection hidden="1"/>
    </xf>
    <xf numFmtId="38" fontId="5" fillId="0" borderId="0" xfId="1" applyFont="1" applyFill="1" applyBorder="1" applyAlignment="1" applyProtection="1">
      <alignment horizontal="center" vertical="center"/>
      <protection hidden="1"/>
    </xf>
    <xf numFmtId="190" fontId="3" fillId="0" borderId="0" xfId="1" applyNumberFormat="1" applyFont="1" applyFill="1" applyAlignment="1" applyProtection="1">
      <alignment horizontal="center" vertical="center"/>
      <protection locked="0" hidden="1"/>
    </xf>
    <xf numFmtId="38" fontId="28" fillId="0" borderId="0" xfId="1" applyFont="1" applyFill="1" applyBorder="1" applyAlignment="1" applyProtection="1">
      <alignment horizontal="center" vertical="center"/>
      <protection hidden="1"/>
    </xf>
    <xf numFmtId="184" fontId="5" fillId="0" borderId="0" xfId="1" applyNumberFormat="1" applyFont="1" applyFill="1" applyBorder="1" applyAlignment="1" applyProtection="1">
      <alignment horizontal="center" vertical="center"/>
      <protection hidden="1"/>
    </xf>
    <xf numFmtId="184" fontId="4" fillId="0" borderId="0" xfId="1" applyNumberFormat="1" applyFont="1" applyFill="1" applyAlignment="1" applyProtection="1">
      <alignment horizontal="right" vertical="center"/>
      <protection hidden="1"/>
    </xf>
    <xf numFmtId="185" fontId="4" fillId="0" borderId="0" xfId="1" applyNumberFormat="1" applyFont="1" applyFill="1" applyAlignment="1" applyProtection="1">
      <alignment horizontal="left" vertical="center"/>
      <protection hidden="1"/>
    </xf>
    <xf numFmtId="184" fontId="3" fillId="0" borderId="0" xfId="1" applyNumberFormat="1" applyFont="1" applyFill="1" applyAlignment="1" applyProtection="1">
      <alignment horizontal="right" vertical="center"/>
      <protection locked="0" hidden="1"/>
    </xf>
    <xf numFmtId="187" fontId="3" fillId="0" borderId="0" xfId="1" applyNumberFormat="1" applyFont="1" applyFill="1" applyAlignment="1" applyProtection="1">
      <alignment horizontal="left" vertical="center"/>
      <protection locked="0" hidden="1"/>
    </xf>
    <xf numFmtId="183" fontId="5" fillId="0" borderId="1" xfId="1" applyNumberFormat="1" applyFont="1" applyFill="1" applyBorder="1" applyAlignment="1" applyProtection="1">
      <alignment horizontal="center" vertical="center"/>
      <protection locked="0" hidden="1"/>
    </xf>
    <xf numFmtId="183" fontId="5" fillId="0" borderId="3" xfId="1" applyNumberFormat="1" applyFont="1" applyFill="1" applyBorder="1" applyAlignment="1" applyProtection="1">
      <alignment horizontal="center" vertical="center"/>
      <protection locked="0" hidden="1"/>
    </xf>
    <xf numFmtId="181" fontId="4" fillId="0" borderId="0" xfId="1" applyNumberFormat="1" applyFont="1" applyFill="1" applyAlignment="1" applyProtection="1">
      <alignment horizontal="center" vertical="center"/>
      <protection hidden="1"/>
    </xf>
    <xf numFmtId="184" fontId="4" fillId="0" borderId="0" xfId="1" applyNumberFormat="1" applyFont="1" applyFill="1" applyBorder="1" applyAlignment="1" applyProtection="1">
      <alignment horizontal="right" vertical="center"/>
      <protection hidden="1"/>
    </xf>
    <xf numFmtId="185" fontId="4" fillId="0" borderId="0" xfId="1" applyNumberFormat="1" applyFont="1" applyFill="1" applyBorder="1" applyAlignment="1" applyProtection="1">
      <alignment horizontal="left" vertical="center"/>
      <protection hidden="1"/>
    </xf>
    <xf numFmtId="181" fontId="23" fillId="0" borderId="0" xfId="1" applyNumberFormat="1" applyFont="1" applyFill="1" applyAlignment="1" applyProtection="1">
      <alignment horizontal="center" vertical="center"/>
      <protection hidden="1"/>
    </xf>
    <xf numFmtId="188" fontId="5" fillId="0" borderId="1" xfId="1" applyNumberFormat="1" applyFont="1" applyFill="1" applyBorder="1" applyAlignment="1" applyProtection="1">
      <alignment horizontal="center" vertical="center"/>
      <protection locked="0" hidden="1"/>
    </xf>
    <xf numFmtId="188" fontId="5" fillId="0" borderId="3" xfId="1" applyNumberFormat="1" applyFont="1" applyFill="1" applyBorder="1" applyAlignment="1" applyProtection="1">
      <alignment horizontal="center" vertical="center"/>
      <protection locked="0" hidden="1"/>
    </xf>
    <xf numFmtId="38" fontId="3" fillId="0" borderId="0" xfId="1" applyFont="1" applyFill="1" applyAlignment="1" applyProtection="1">
      <alignment horizontal="center" vertical="center"/>
      <protection locked="0" hidden="1"/>
    </xf>
    <xf numFmtId="182" fontId="5" fillId="0" borderId="1" xfId="1" applyNumberFormat="1" applyFont="1" applyFill="1" applyBorder="1" applyAlignment="1" applyProtection="1">
      <alignment horizontal="center" vertical="center"/>
      <protection locked="0" hidden="1"/>
    </xf>
    <xf numFmtId="182" fontId="5" fillId="0" borderId="3" xfId="1" applyNumberFormat="1" applyFont="1" applyFill="1" applyBorder="1" applyAlignment="1" applyProtection="1">
      <alignment horizontal="center" vertical="center"/>
      <protection locked="0" hidden="1"/>
    </xf>
    <xf numFmtId="38" fontId="4" fillId="0" borderId="0" xfId="1" applyFont="1" applyFill="1" applyAlignment="1" applyProtection="1">
      <alignment horizontal="center" vertical="center" wrapText="1"/>
      <protection hidden="1"/>
    </xf>
    <xf numFmtId="38" fontId="4" fillId="0" borderId="0" xfId="1" applyFont="1" applyFill="1" applyAlignment="1" applyProtection="1">
      <alignment horizontal="center" vertical="top"/>
      <protection hidden="1"/>
    </xf>
    <xf numFmtId="38" fontId="18" fillId="0" borderId="0" xfId="1" applyFont="1" applyFill="1" applyAlignment="1" applyProtection="1">
      <alignment horizontal="left" vertical="center"/>
      <protection hidden="1"/>
    </xf>
    <xf numFmtId="38" fontId="29" fillId="0" borderId="0" xfId="1" applyFont="1" applyFill="1" applyAlignment="1" applyProtection="1">
      <alignment horizontal="right" vertical="center"/>
      <protection locked="0" hidden="1"/>
    </xf>
    <xf numFmtId="0" fontId="3" fillId="0" borderId="0" xfId="1" applyNumberFormat="1" applyFont="1" applyFill="1" applyAlignment="1" applyProtection="1">
      <alignment horizontal="center" vertical="center"/>
      <protection locked="0" hidden="1"/>
    </xf>
    <xf numFmtId="38" fontId="20" fillId="0" borderId="0" xfId="1" applyFont="1" applyFill="1" applyAlignment="1" applyProtection="1">
      <alignment horizontal="left" vertical="top"/>
      <protection hidden="1"/>
    </xf>
    <xf numFmtId="176" fontId="42" fillId="0" borderId="0" xfId="1" applyNumberFormat="1" applyFont="1" applyFill="1" applyAlignment="1" applyProtection="1">
      <alignment horizontal="right" vertical="center"/>
      <protection hidden="1"/>
    </xf>
    <xf numFmtId="0" fontId="0" fillId="0" borderId="5" xfId="0" applyBorder="1" applyAlignment="1">
      <alignment horizontal="left"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cellXfs>
  <cellStyles count="3">
    <cellStyle name="桁区切り" xfId="1" builtinId="6"/>
    <cellStyle name="通貨" xfId="2" builtinId="7"/>
    <cellStyle name="標準" xfId="0" builtinId="0"/>
  </cellStyles>
  <dxfs count="3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patternType="none">
          <bgColor auto="1"/>
        </patternFill>
      </fill>
    </dxf>
    <dxf>
      <fill>
        <patternFill patternType="none">
          <bgColor auto="1"/>
        </patternFill>
      </fill>
    </dxf>
    <dxf>
      <fill>
        <patternFill patternType="none">
          <bgColor auto="1"/>
        </patternFill>
      </fill>
    </dxf>
    <dxf>
      <fill>
        <patternFill>
          <bgColor theme="4" tint="0.59996337778862885"/>
        </patternFill>
      </fill>
    </dxf>
    <dxf>
      <fill>
        <patternFill patternType="none">
          <bgColor auto="1"/>
        </patternFill>
      </fill>
    </dxf>
    <dxf>
      <fill>
        <patternFill>
          <bgColor theme="4" tint="0.59996337778862885"/>
        </patternFill>
      </fill>
    </dxf>
    <dxf>
      <fill>
        <patternFill patternType="solid">
          <bgColor theme="0"/>
        </patternFill>
      </fill>
    </dxf>
    <dxf>
      <fill>
        <patternFill patternType="none">
          <bgColor auto="1"/>
        </patternFill>
      </fill>
    </dxf>
    <dxf>
      <fill>
        <patternFill>
          <bgColor theme="3" tint="0.79998168889431442"/>
        </patternFill>
      </fill>
      <border>
        <left/>
        <right/>
        <top/>
        <bottom/>
        <vertical/>
        <horizontal/>
      </border>
    </dxf>
    <dxf>
      <fill>
        <patternFill patternType="none">
          <bgColor auto="1"/>
        </patternFill>
      </fill>
    </dxf>
    <dxf>
      <fill>
        <patternFill patternType="none">
          <bgColor auto="1"/>
        </patternFill>
      </fill>
    </dxf>
    <dxf>
      <font>
        <color theme="0"/>
      </font>
      <border>
        <left/>
        <right/>
        <top/>
        <bottom/>
        <vertical/>
        <horizontal/>
      </border>
    </dxf>
    <dxf>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none">
          <bgColor auto="1"/>
        </patternFill>
      </fill>
    </dxf>
    <dxf>
      <font>
        <color theme="0"/>
      </font>
    </dxf>
    <dxf>
      <font>
        <color theme="0"/>
      </font>
    </dxf>
    <dxf>
      <font>
        <color theme="0"/>
      </font>
      <fill>
        <patternFill>
          <bgColor theme="0"/>
        </patternFill>
      </fill>
      <border>
        <left/>
        <right/>
        <top/>
        <bottom/>
      </border>
    </dxf>
    <dxf>
      <font>
        <color theme="0"/>
      </font>
      <border>
        <left/>
        <right/>
        <top/>
        <bottom/>
        <vertical/>
        <horizontal/>
      </border>
    </dxf>
    <dxf>
      <fill>
        <patternFill patternType="none">
          <bgColor auto="1"/>
        </patternFill>
      </fill>
    </dxf>
  </dxfs>
  <tableStyles count="0" defaultTableStyle="TableStyleMedium9" defaultPivotStyle="PivotStyleLight16"/>
  <colors>
    <mruColors>
      <color rgb="FF00FF00"/>
      <color rgb="FFCCFFFF"/>
      <color rgb="FF99FF99"/>
      <color rgb="FFCCFF99"/>
      <color rgb="FFFFCCCC"/>
      <color rgb="FFFF99FF"/>
      <color rgb="FF33CCFF"/>
      <color rgb="FF00CC99"/>
      <color rgb="FFCC3399"/>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fmlaLink="$AW$9" lockText="1"/>
</file>

<file path=xl/ctrlProps/ctrlProp10.xml><?xml version="1.0" encoding="utf-8"?>
<formControlPr xmlns="http://schemas.microsoft.com/office/spreadsheetml/2009/9/main" objectType="Drop" dropLines="10" dropStyle="combo" dx="16" fmlaLink="$AW$5" fmlaRange="$AX$13:$AX$22" sel="6" val="0"/>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checked="Checked" fmlaLink="$BA$76" lockText="1"/>
</file>

<file path=xl/ctrlProps/ctrlProp15.xml><?xml version="1.0" encoding="utf-8"?>
<formControlPr xmlns="http://schemas.microsoft.com/office/spreadsheetml/2009/9/main" objectType="CheckBox" checked="Checked" fmlaLink="$BA$89" lockText="1"/>
</file>

<file path=xl/ctrlProps/ctrlProp16.xml><?xml version="1.0" encoding="utf-8"?>
<formControlPr xmlns="http://schemas.microsoft.com/office/spreadsheetml/2009/9/main" objectType="Drop" dropLines="10" dropStyle="combo" dx="16" fmlaLink="$BC$5" fmlaRange="$BS$38:$BS$47" sel="6" val="0"/>
</file>

<file path=xl/ctrlProps/ctrlProp17.xml><?xml version="1.0" encoding="utf-8"?>
<formControlPr xmlns="http://schemas.microsoft.com/office/spreadsheetml/2009/9/main" objectType="Radio" checked="Checked" firstButton="1" fmlaLink="$BC$10"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fmlaLink="$G$88" lockText="1" noThreeD="1"/>
</file>

<file path=xl/ctrlProps/ctrlProp8.xml><?xml version="1.0" encoding="utf-8"?>
<formControlPr xmlns="http://schemas.microsoft.com/office/spreadsheetml/2009/9/main" objectType="CheckBox" checked="Checked" fmlaLink="$AW$101" lockText="1"/>
</file>

<file path=xl/ctrlProps/ctrlProp9.xml><?xml version="1.0" encoding="utf-8"?>
<formControlPr xmlns="http://schemas.microsoft.com/office/spreadsheetml/2009/9/main" objectType="CheckBox" checked="Checked" fmlaLink="$AW85" lockText="1"/>
</file>

<file path=xl/drawings/drawing1.xml><?xml version="1.0" encoding="utf-8"?>
<xdr:wsDr xmlns:xdr="http://schemas.openxmlformats.org/drawingml/2006/spreadsheetDrawing" xmlns:a="http://schemas.openxmlformats.org/drawingml/2006/main">
  <xdr:twoCellAnchor>
    <xdr:from>
      <xdr:col>0</xdr:col>
      <xdr:colOff>0</xdr:colOff>
      <xdr:row>0</xdr:row>
      <xdr:rowOff>28574</xdr:rowOff>
    </xdr:from>
    <xdr:to>
      <xdr:col>11</xdr:col>
      <xdr:colOff>638174</xdr:colOff>
      <xdr:row>70</xdr:row>
      <xdr:rowOff>63500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8574"/>
          <a:ext cx="8147049" cy="12258676"/>
        </a:xfrm>
        <a:prstGeom prst="rect">
          <a:avLst/>
        </a:prstGeom>
        <a:noFill/>
        <a:ln w="25400" cmpd="thickThi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t>運賃・料金簡易計算シミュレーター</a:t>
          </a:r>
          <a:r>
            <a:rPr kumimoji="1" lang="ja-JP" altLang="en-US" sz="1200" b="1">
              <a:solidFill>
                <a:sysClr val="windowText" lastClr="000000"/>
              </a:solidFill>
            </a:rPr>
            <a:t>（</a:t>
          </a:r>
          <a:r>
            <a:rPr kumimoji="1" lang="en-US" altLang="ja-JP" sz="1200" b="1">
              <a:solidFill>
                <a:sysClr val="windowText" lastClr="000000"/>
              </a:solidFill>
            </a:rPr>
            <a:t>Ver.5.0</a:t>
          </a:r>
          <a:r>
            <a:rPr kumimoji="1" lang="ja-JP" altLang="en-US" sz="1200" b="1">
              <a:solidFill>
                <a:sysClr val="windowText" lastClr="000000"/>
              </a:solidFill>
            </a:rPr>
            <a:t>）使用上</a:t>
          </a:r>
          <a:r>
            <a:rPr kumimoji="1" lang="ja-JP" altLang="en-US" sz="1200" b="1"/>
            <a:t>の注意点</a:t>
          </a:r>
          <a:endParaRPr kumimoji="1" lang="en-US" altLang="ja-JP" sz="1200" b="1"/>
        </a:p>
        <a:p>
          <a:pPr algn="ctr"/>
          <a:endParaRPr kumimoji="1" lang="en-US" altLang="ja-JP" sz="1200" b="1"/>
        </a:p>
        <a:p>
          <a:r>
            <a:rPr lang="ja-JP" altLang="en-US" sz="1100" b="1" i="0" u="none" strike="noStrike" baseline="0">
              <a:solidFill>
                <a:schemeClr val="dk1"/>
              </a:solidFill>
              <a:latin typeface="+mn-lt"/>
              <a:ea typeface="+mn-ea"/>
              <a:cs typeface="+mn-cs"/>
            </a:rPr>
            <a:t>このシミュレーターは、現在各運輸局において公示（令和５年８月２５日公示）されている貸切バスの運賃・料金の下限額に基づき、実際の運送に適用される運賃・料金の範囲を簡易的に計算することができます。</a:t>
          </a:r>
        </a:p>
        <a:p>
          <a:endParaRPr lang="ja-JP" altLang="en-US" sz="1050">
            <a:solidFill>
              <a:schemeClr val="dk1"/>
            </a:solidFill>
            <a:latin typeface="+mn-lt"/>
            <a:ea typeface="+mn-ea"/>
            <a:cs typeface="+mn-cs"/>
          </a:endParaRPr>
        </a:p>
        <a:p>
          <a:r>
            <a:rPr lang="ja-JP" altLang="en-US" sz="1200" b="1" i="0" u="none" strike="noStrike" baseline="0">
              <a:solidFill>
                <a:schemeClr val="dk1"/>
              </a:solidFill>
              <a:latin typeface="+mn-lt"/>
              <a:ea typeface="+mn-ea"/>
              <a:cs typeface="+mn-cs"/>
            </a:rPr>
            <a:t>◎使用方法</a:t>
          </a:r>
        </a:p>
        <a:p>
          <a:r>
            <a:rPr lang="en-US" altLang="ja-JP" sz="1100" b="1" i="0" u="none" strike="noStrike" baseline="0">
              <a:solidFill>
                <a:schemeClr val="dk1"/>
              </a:solidFill>
              <a:latin typeface="+mn-lt"/>
              <a:ea typeface="+mn-ea"/>
              <a:cs typeface="+mn-cs"/>
            </a:rPr>
            <a:t>【</a:t>
          </a:r>
          <a:r>
            <a:rPr lang="ja-JP" altLang="en-US" sz="1100" b="1" i="0" u="none" strike="noStrike" baseline="0">
              <a:solidFill>
                <a:schemeClr val="dk1"/>
              </a:solidFill>
              <a:latin typeface="+mn-lt"/>
              <a:ea typeface="+mn-ea"/>
              <a:cs typeface="+mn-cs"/>
            </a:rPr>
            <a:t>各シート共通</a:t>
          </a:r>
          <a:r>
            <a:rPr lang="en-US" altLang="ja-JP" sz="1100" b="1" i="0" u="none" strike="noStrike" baseline="0">
              <a:solidFill>
                <a:schemeClr val="dk1"/>
              </a:solidFill>
              <a:latin typeface="+mn-lt"/>
              <a:ea typeface="+mn-ea"/>
              <a:cs typeface="+mn-cs"/>
            </a:rPr>
            <a:t>】</a:t>
          </a:r>
        </a:p>
        <a:p>
          <a:r>
            <a:rPr lang="ja-JP" altLang="en-US" sz="1100" b="1" i="0" u="none" strike="noStrike" baseline="0">
              <a:solidFill>
                <a:srgbClr val="FF0000"/>
              </a:solidFill>
              <a:latin typeface="+mn-lt"/>
              <a:ea typeface="+mn-ea"/>
              <a:cs typeface="+mn-cs"/>
            </a:rPr>
            <a:t>・貸切バス事業者の営業区域を管轄する運輸局等を選択してください。</a:t>
          </a:r>
        </a:p>
        <a:p>
          <a:r>
            <a:rPr lang="ja-JP" altLang="en-US" sz="1100" b="1" i="0" u="none" strike="noStrike" baseline="0">
              <a:solidFill>
                <a:srgbClr val="FF0000"/>
              </a:solidFill>
              <a:latin typeface="+mn-lt"/>
              <a:ea typeface="+mn-ea"/>
              <a:cs typeface="+mn-cs"/>
            </a:rPr>
            <a:t>・車種区分を選択してください。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時間入力シート（総走行時間がわかる場合）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・総走行時間及び走行距離、その他割引き・割増し料金等を入力してください。</a:t>
          </a:r>
        </a:p>
        <a:p>
          <a:r>
            <a:rPr lang="en-US" altLang="ja-JP" sz="1100" b="1" i="0" u="none" strike="noStrike" baseline="0">
              <a:solidFill>
                <a:srgbClr val="FF0000"/>
              </a:solidFill>
              <a:latin typeface="+mn-lt"/>
              <a:ea typeface="+mn-ea"/>
              <a:cs typeface="+mn-cs"/>
            </a:rPr>
            <a:t>【</a:t>
          </a:r>
          <a:r>
            <a:rPr lang="ja-JP" altLang="en-US" sz="1100" b="1" i="0" u="none" strike="noStrike" baseline="0">
              <a:solidFill>
                <a:srgbClr val="FF0000"/>
              </a:solidFill>
              <a:latin typeface="+mn-lt"/>
              <a:ea typeface="+mn-ea"/>
              <a:cs typeface="+mn-cs"/>
            </a:rPr>
            <a:t>時刻入力シート（出庫時間及び帰庫時間がわかる場合）</a:t>
          </a:r>
          <a:r>
            <a:rPr lang="en-US" altLang="ja-JP" sz="1100" b="1" i="0" u="none" strike="noStrike" baseline="0">
              <a:solidFill>
                <a:srgbClr val="FF0000"/>
              </a:solidFill>
              <a:latin typeface="+mn-lt"/>
              <a:ea typeface="+mn-ea"/>
              <a:cs typeface="+mn-cs"/>
            </a:rPr>
            <a:t>】</a:t>
          </a:r>
        </a:p>
        <a:p>
          <a:r>
            <a:rPr lang="ja-JP" altLang="en-US" sz="1100" b="1" i="0" u="none" strike="noStrike" baseline="0">
              <a:solidFill>
                <a:srgbClr val="FF0000"/>
              </a:solidFill>
              <a:latin typeface="+mn-lt"/>
              <a:ea typeface="+mn-ea"/>
              <a:cs typeface="+mn-cs"/>
            </a:rPr>
            <a:t>・出庫時間及び帰庫時間並びに走行距離、その他割引き・割増し料金等を入力してください。</a:t>
          </a:r>
          <a:endParaRPr lang="en-US" altLang="ja-JP" sz="1100" b="1" i="0" u="none" strike="noStrike" baseline="0">
            <a:solidFill>
              <a:srgbClr val="FF0000"/>
            </a:solidFill>
            <a:latin typeface="+mn-lt"/>
            <a:ea typeface="+mn-ea"/>
            <a:cs typeface="+mn-cs"/>
          </a:endParaRPr>
        </a:p>
        <a:p>
          <a:endParaRPr kumimoji="1" lang="en-US" altLang="ja-JP" sz="1100" b="1"/>
        </a:p>
        <a:p>
          <a:r>
            <a:rPr kumimoji="1" lang="en-US" altLang="ja-JP" sz="1100"/>
            <a:t>※</a:t>
          </a:r>
          <a:r>
            <a:rPr kumimoji="1" lang="ja-JP" altLang="en-US" sz="1100"/>
            <a:t>拘束時間が１日当たり２０時間を超えるものは想定しておりません。</a:t>
          </a:r>
          <a:endParaRPr kumimoji="1" lang="en-US" altLang="ja-JP" sz="1100"/>
        </a:p>
        <a:p>
          <a:r>
            <a:rPr kumimoji="1" lang="en-US" altLang="ja-JP" sz="1100"/>
            <a:t>※</a:t>
          </a:r>
          <a:r>
            <a:rPr kumimoji="1" lang="ja-JP" altLang="en-US" sz="1100"/>
            <a:t>いわゆる中抜け、年間契約等には対応しておりません。</a:t>
          </a:r>
          <a:endParaRPr kumimoji="1" lang="en-US" altLang="ja-JP" sz="1100"/>
        </a:p>
        <a:p>
          <a:r>
            <a:rPr kumimoji="1" lang="en-US" altLang="ja-JP" sz="1100">
              <a:solidFill>
                <a:sysClr val="windowText" lastClr="000000"/>
              </a:solidFill>
            </a:rPr>
            <a:t>※</a:t>
          </a:r>
          <a:r>
            <a:rPr kumimoji="1" lang="ja-JP" altLang="en-US" sz="1100">
              <a:solidFill>
                <a:sysClr val="windowText" lastClr="000000"/>
              </a:solidFill>
            </a:rPr>
            <a:t>運転者の勤務時間及び乗務時間に係る基準の適否には対応しておりません。</a:t>
          </a:r>
        </a:p>
        <a:p>
          <a:r>
            <a:rPr kumimoji="1" lang="en-US" altLang="ja-JP" sz="1100"/>
            <a:t>※</a:t>
          </a:r>
          <a:r>
            <a:rPr kumimoji="1" lang="ja-JP" altLang="en-US" sz="1100"/>
            <a:t>バスガイド料、有料道路利用料、フェリー料、駐車料、乗務員宿泊料その他旅客の求めによる運送以外の経費は実費負担となります。</a:t>
          </a:r>
        </a:p>
        <a:p>
          <a:endParaRPr kumimoji="1" lang="en-US" altLang="ja-JP" sz="1100"/>
        </a:p>
        <a:p>
          <a:r>
            <a:rPr kumimoji="1" lang="ja-JP" altLang="en-US" sz="1100" b="1"/>
            <a:t>＜車種区分＞</a:t>
          </a:r>
          <a:endParaRPr kumimoji="1" lang="en-US" altLang="ja-JP" sz="1100" b="1"/>
        </a:p>
        <a:p>
          <a:r>
            <a:rPr kumimoji="1" lang="ja-JP" altLang="en-US" sz="1100"/>
            <a:t>・大型車：９ｍ以上又は旅客座席数５０人以上　</a:t>
          </a:r>
          <a:endParaRPr kumimoji="1" lang="en-US" altLang="ja-JP" sz="1100"/>
        </a:p>
        <a:p>
          <a:r>
            <a:rPr kumimoji="1" lang="ja-JP" altLang="en-US" sz="1100"/>
            <a:t>・中型車：大型車、小型車以外　　</a:t>
          </a:r>
          <a:endParaRPr kumimoji="1" lang="en-US" altLang="ja-JP" sz="1100"/>
        </a:p>
        <a:p>
          <a:r>
            <a:rPr kumimoji="1" lang="ja-JP" altLang="en-US" sz="1100"/>
            <a:t>・小型車：７ｍ以下で旅客座席数２９人以下</a:t>
          </a:r>
          <a:endParaRPr kumimoji="1" lang="en-US" altLang="ja-JP" sz="1100"/>
        </a:p>
        <a:p>
          <a:endParaRPr kumimoji="1" lang="en-US" altLang="ja-JP" sz="1100"/>
        </a:p>
        <a:p>
          <a:r>
            <a:rPr kumimoji="1" lang="ja-JP" altLang="en-US" sz="1100"/>
            <a:t>・走行時間とは、出庫から帰庫までの時間で回送時間も含みます。</a:t>
          </a:r>
          <a:endParaRPr kumimoji="1" lang="en-US" altLang="ja-JP" sz="1100"/>
        </a:p>
        <a:p>
          <a:r>
            <a:rPr kumimoji="1" lang="ja-JP" altLang="en-US" sz="1100"/>
            <a:t>・走行距離とは、出庫から帰庫までの距離で回送距離も含みます。 </a:t>
          </a:r>
        </a:p>
        <a:p>
          <a:r>
            <a:rPr kumimoji="1" lang="ja-JP" altLang="en-US" sz="1100"/>
            <a:t>・宿泊を伴う場合の出庫時間、帰庫時間とは宿泊場所出発時間あるいは宿泊場所到着時間です。</a:t>
          </a:r>
        </a:p>
        <a:p>
          <a:r>
            <a:rPr kumimoji="1" lang="ja-JP" altLang="en-US" sz="1100"/>
            <a:t>・走行時間が３時間未満の場合は３時間となります。 </a:t>
          </a:r>
        </a:p>
        <a:p>
          <a:r>
            <a:rPr kumimoji="1" lang="ja-JP" altLang="en-US" sz="1100"/>
            <a:t>・１日ごとに出庫前</a:t>
          </a:r>
          <a:r>
            <a:rPr kumimoji="1" lang="en-US" altLang="ja-JP" sz="1100"/>
            <a:t>1</a:t>
          </a:r>
          <a:r>
            <a:rPr kumimoji="1" lang="ja-JP" altLang="en-US" sz="1100"/>
            <a:t>時間と帰庫後</a:t>
          </a:r>
          <a:r>
            <a:rPr kumimoji="1" lang="en-US" altLang="ja-JP" sz="1100"/>
            <a:t>1</a:t>
          </a:r>
          <a:r>
            <a:rPr kumimoji="1" lang="ja-JP" altLang="en-US" sz="1100"/>
            <a:t>時間の点呼点検時間計２時間が加算されます。 </a:t>
          </a:r>
          <a:endParaRPr kumimoji="1" lang="en-US" altLang="ja-JP" sz="1100"/>
        </a:p>
        <a:p>
          <a:r>
            <a:rPr kumimoji="1" lang="ja-JP" altLang="en-US" sz="1100"/>
            <a:t>・フェリーボートを利用した場合の航送時間（乗船してから下船するまでの時間）は８時間が上限です。</a:t>
          </a:r>
        </a:p>
        <a:p>
          <a:r>
            <a:rPr kumimoji="1" lang="ja-JP" altLang="en-US" sz="1100"/>
            <a:t>・深夜早朝とは２２時～５時の間の運行時間・点呼点検時間です。</a:t>
          </a:r>
        </a:p>
        <a:p>
          <a:endParaRPr kumimoji="1" lang="en-US" altLang="ja-JP" sz="1100"/>
        </a:p>
        <a:p>
          <a:r>
            <a:rPr kumimoji="1" lang="ja-JP" altLang="en-US" sz="1100" b="1"/>
            <a:t>＜運賃の割引＞</a:t>
          </a:r>
          <a:endParaRPr kumimoji="1" lang="en-US" altLang="ja-JP" sz="1100" b="1"/>
        </a:p>
        <a:p>
          <a:r>
            <a:rPr kumimoji="1" lang="ja-JP" altLang="en-US" sz="1100"/>
            <a:t>・身体障害者福祉法、知的障害者福祉法及び児童福祉法の適用を受ける者の団体</a:t>
          </a:r>
          <a:endParaRPr kumimoji="1" lang="en-US" altLang="ja-JP" sz="1100"/>
        </a:p>
        <a:p>
          <a:r>
            <a:rPr kumimoji="1" lang="ja-JP" altLang="en-US" sz="1100"/>
            <a:t>・学校教育法による学校（大学及び高等専門学校を除く）に通学又は通園する者の団体</a:t>
          </a:r>
        </a:p>
        <a:p>
          <a:r>
            <a:rPr kumimoji="1" lang="ja-JP" altLang="en-US" sz="1100"/>
            <a:t>・２以上の割引条件に該当する場合はいずれか高い率を適用し、重複して割引をしません。 </a:t>
          </a:r>
        </a:p>
        <a:p>
          <a:r>
            <a:rPr kumimoji="1" lang="ja-JP" altLang="en-US" sz="1100"/>
            <a:t>・割引後の運賃は、届け出た下限額が限度です。</a:t>
          </a:r>
        </a:p>
        <a:p>
          <a:endParaRPr kumimoji="1" lang="en-US" altLang="ja-JP" sz="1100"/>
        </a:p>
        <a:p>
          <a:r>
            <a:rPr kumimoji="1" lang="ja-JP" altLang="en-US" sz="1100" b="1"/>
            <a:t>＜深夜早朝料金＞</a:t>
          </a:r>
          <a:endParaRPr kumimoji="1" lang="en-US" altLang="ja-JP" sz="1100" b="1"/>
        </a:p>
        <a:p>
          <a:r>
            <a:rPr kumimoji="1" lang="ja-JP" altLang="en-US" sz="1100"/>
            <a:t>・２２時以降翌朝５時までの間に点呼点検時間及び走行時間が含まれた場合に、１時間あたりの運賃及び交替運転者配置料金の</a:t>
          </a:r>
          <a:r>
            <a:rPr kumimoji="1" lang="en-US" altLang="ja-JP" sz="1100"/>
            <a:t>2</a:t>
          </a:r>
          <a:r>
            <a:rPr kumimoji="1" lang="ja-JP" altLang="en-US" sz="1100"/>
            <a:t>割の割増が適用されます。</a:t>
          </a:r>
          <a:endParaRPr kumimoji="1" lang="en-US" altLang="ja-JP" sz="1100"/>
        </a:p>
        <a:p>
          <a:endParaRPr kumimoji="1" lang="en-US" altLang="ja-JP" sz="1100"/>
        </a:p>
        <a:p>
          <a:r>
            <a:rPr kumimoji="1" lang="ja-JP" altLang="en-US" sz="1100" b="1"/>
            <a:t>＜特殊車両料金＞</a:t>
          </a:r>
          <a:endParaRPr kumimoji="1" lang="en-US" altLang="ja-JP" sz="1100" b="1"/>
        </a:p>
        <a:p>
          <a:r>
            <a:rPr kumimoji="1" lang="ja-JP" altLang="en-US" sz="1100"/>
            <a:t>・次の条件を有する車両については、運賃の任意の割増を適用することができます。</a:t>
          </a:r>
          <a:endParaRPr kumimoji="1" lang="en-US" altLang="ja-JP" sz="1100"/>
        </a:p>
        <a:p>
          <a:r>
            <a:rPr kumimoji="1" lang="ja-JP" altLang="en-US" sz="1100"/>
            <a:t>①標準的な装備を超える特殊な設備を有する車両</a:t>
          </a:r>
          <a:endParaRPr kumimoji="1" lang="en-US" altLang="ja-JP" sz="1100"/>
        </a:p>
        <a:p>
          <a:r>
            <a:rPr kumimoji="1" lang="ja-JP" altLang="en-US" sz="1100"/>
            <a:t>②車両購入価格を座席定員で除した単価が標準的な車両の単価より７０％以上高額である車両</a:t>
          </a:r>
          <a:endParaRPr kumimoji="1" lang="en-US" altLang="ja-JP" sz="1100"/>
        </a:p>
        <a:p>
          <a:endParaRPr kumimoji="1" lang="en-US" altLang="ja-JP" sz="1100" b="1"/>
        </a:p>
        <a:p>
          <a:r>
            <a:rPr kumimoji="1" lang="ja-JP" altLang="en-US" sz="1100" b="1"/>
            <a:t>＜交代運転者配置料金＞</a:t>
          </a:r>
          <a:endParaRPr kumimoji="1" lang="en-US" altLang="ja-JP" sz="1100" b="1"/>
        </a:p>
        <a:p>
          <a:r>
            <a:rPr kumimoji="1" lang="ja-JP" altLang="en-US" sz="1100"/>
            <a:t>・法令により運転者の交替が義務つけられる場合、交替運転者の配置について事業者と申込者が合意した場合に適用されます。</a:t>
          </a:r>
          <a:endParaRPr kumimoji="1" lang="en-US" altLang="ja-JP" sz="1100"/>
        </a:p>
        <a:p>
          <a:r>
            <a:rPr kumimoji="1" lang="ja-JP" altLang="en-US" sz="1100"/>
            <a:t>　なお、交替運転者が交替地点まで車両に同乗しない場合であっても、同乗したものとして料金を適用するものとします。</a:t>
          </a:r>
          <a:endParaRPr kumimoji="1" lang="en-US" altLang="ja-JP" sz="1100"/>
        </a:p>
        <a:p>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消費税の扱い</a:t>
          </a:r>
          <a:r>
            <a:rPr kumimoji="1" lang="ja-JP" altLang="ja-JP" sz="1100" b="1">
              <a:solidFill>
                <a:schemeClr val="dk1"/>
              </a:solidFill>
              <a:effectLst/>
              <a:latin typeface="+mn-lt"/>
              <a:ea typeface="+mn-ea"/>
              <a:cs typeface="+mn-cs"/>
            </a:rPr>
            <a:t>＞</a:t>
          </a:r>
          <a:endParaRPr kumimoji="1" lang="en-US" altLang="ja-JP"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公示運賃・料金は消費税を含んでません。各運賃・料金の計算において消費税を別途加算します。</a:t>
          </a:r>
          <a:endParaRPr lang="ja-JP" altLang="ja-JP" sz="1100">
            <a:effectLst/>
          </a:endParaRPr>
        </a:p>
        <a:p>
          <a:endParaRPr kumimoji="1" lang="en-US" altLang="ja-JP" sz="1100"/>
        </a:p>
        <a:p>
          <a:pPr eaLnBrk="1" fontAlgn="auto" latinLnBrk="0" hangingPunct="1"/>
          <a:r>
            <a:rPr kumimoji="1" lang="ja-JP"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更新履歴</a:t>
          </a:r>
          <a:r>
            <a:rPr kumimoji="1" lang="ja-JP" altLang="ja-JP" sz="1100" b="1">
              <a:solidFill>
                <a:sysClr val="windowText" lastClr="000000"/>
              </a:solidFill>
              <a:effectLst/>
              <a:latin typeface="+mn-lt"/>
              <a:ea typeface="+mn-ea"/>
              <a:cs typeface="+mn-cs"/>
            </a:rPr>
            <a:t>＞</a:t>
          </a:r>
          <a:endParaRPr lang="ja-JP" altLang="ja-JP">
            <a:solidFill>
              <a:sysClr val="windowText" lastClr="000000"/>
            </a:solidFill>
            <a:effectLst/>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ver.1.0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28</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8</a:t>
          </a:r>
          <a:r>
            <a:rPr kumimoji="1" lang="ja-JP" altLang="en-US" sz="1100">
              <a:solidFill>
                <a:sysClr val="windowText" lastClr="000000"/>
              </a:solidFill>
              <a:effectLst/>
              <a:latin typeface="+mn-lt"/>
              <a:ea typeface="+mn-ea"/>
              <a:cs typeface="+mn-cs"/>
            </a:rPr>
            <a:t>月　リリースを開始しました。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ver.2.0 </a:t>
          </a:r>
          <a:r>
            <a:rPr kumimoji="1" lang="ja-JP" altLang="en-US" sz="1100">
              <a:solidFill>
                <a:sysClr val="windowText" lastClr="000000"/>
              </a:solidFill>
              <a:effectLst/>
              <a:latin typeface="+mn-lt"/>
              <a:ea typeface="+mn-ea"/>
              <a:cs typeface="+mn-cs"/>
            </a:rPr>
            <a:t>平成</a:t>
          </a:r>
          <a:r>
            <a:rPr kumimoji="1" lang="en-US" altLang="ja-JP" sz="1100">
              <a:solidFill>
                <a:sysClr val="windowText" lastClr="000000"/>
              </a:solidFill>
              <a:effectLst/>
              <a:latin typeface="+mn-lt"/>
              <a:ea typeface="+mn-ea"/>
              <a:cs typeface="+mn-cs"/>
            </a:rPr>
            <a:t>30</a:t>
          </a:r>
          <a:r>
            <a:rPr kumimoji="1" lang="ja-JP" altLang="en-US"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5</a:t>
          </a:r>
          <a:r>
            <a:rPr kumimoji="1" lang="ja-JP" altLang="en-US" sz="1100">
              <a:solidFill>
                <a:sysClr val="windowText" lastClr="000000"/>
              </a:solidFill>
              <a:effectLst/>
              <a:latin typeface="+mn-lt"/>
              <a:ea typeface="+mn-ea"/>
              <a:cs typeface="+mn-cs"/>
            </a:rPr>
            <a:t>月　深夜早朝料金及び特殊車両料金の下限割増率を</a:t>
          </a:r>
          <a:r>
            <a:rPr kumimoji="1" lang="en-US" altLang="ja-JP" sz="1100">
              <a:solidFill>
                <a:sysClr val="windowText" lastClr="000000"/>
              </a:solidFill>
              <a:effectLst/>
              <a:latin typeface="+mn-lt"/>
              <a:ea typeface="+mn-ea"/>
              <a:cs typeface="+mn-cs"/>
            </a:rPr>
            <a:t>0</a:t>
          </a:r>
          <a:r>
            <a:rPr kumimoji="1" lang="ja-JP" altLang="en-US" sz="1100">
              <a:solidFill>
                <a:sysClr val="windowText" lastClr="000000"/>
              </a:solidFill>
              <a:effectLst/>
              <a:latin typeface="+mn-lt"/>
              <a:ea typeface="+mn-ea"/>
              <a:cs typeface="+mn-cs"/>
            </a:rPr>
            <a:t>％から</a:t>
          </a:r>
          <a:r>
            <a:rPr kumimoji="1" lang="en-US" altLang="ja-JP" sz="1100">
              <a:solidFill>
                <a:sysClr val="windowText" lastClr="000000"/>
              </a:solidFill>
              <a:effectLst/>
              <a:latin typeface="+mn-lt"/>
              <a:ea typeface="+mn-ea"/>
              <a:cs typeface="+mn-cs"/>
            </a:rPr>
            <a:t>1</a:t>
          </a:r>
          <a:r>
            <a:rPr kumimoji="1" lang="ja-JP" altLang="en-US" sz="1100">
              <a:solidFill>
                <a:sysClr val="windowText" lastClr="000000"/>
              </a:solidFill>
              <a:effectLst/>
              <a:latin typeface="+mn-lt"/>
              <a:ea typeface="+mn-ea"/>
              <a:cs typeface="+mn-cs"/>
            </a:rPr>
            <a:t>％に変更しました。</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ver.3.0</a:t>
          </a:r>
          <a:r>
            <a:rPr kumimoji="1" lang="ja-JP" altLang="en-US" sz="1100" baseline="0">
              <a:solidFill>
                <a:sysClr val="windowText" lastClr="000000"/>
              </a:solidFill>
              <a:effectLst/>
              <a:latin typeface="+mn-lt"/>
              <a:ea typeface="+mn-ea"/>
              <a:cs typeface="+mn-cs"/>
            </a:rPr>
            <a:t> 平成</a:t>
          </a:r>
          <a:r>
            <a:rPr kumimoji="1" lang="en-US" altLang="ja-JP" sz="1100" baseline="0">
              <a:solidFill>
                <a:sysClr val="windowText" lastClr="000000"/>
              </a:solidFill>
              <a:effectLst/>
              <a:latin typeface="+mn-lt"/>
              <a:ea typeface="+mn-ea"/>
              <a:cs typeface="+mn-cs"/>
            </a:rPr>
            <a:t>30</a:t>
          </a:r>
          <a:r>
            <a:rPr kumimoji="1" lang="ja-JP" altLang="en-US" sz="1100" baseline="0">
              <a:solidFill>
                <a:sysClr val="windowText" lastClr="000000"/>
              </a:solidFill>
              <a:effectLst/>
              <a:latin typeface="+mn-lt"/>
              <a:ea typeface="+mn-ea"/>
              <a:cs typeface="+mn-cs"/>
            </a:rPr>
            <a:t>年</a:t>
          </a:r>
          <a:r>
            <a:rPr kumimoji="1" lang="en-US" altLang="ja-JP" sz="1100" baseline="0">
              <a:solidFill>
                <a:sysClr val="windowText" lastClr="000000"/>
              </a:solidFill>
              <a:effectLst/>
              <a:latin typeface="+mn-lt"/>
              <a:ea typeface="+mn-ea"/>
              <a:cs typeface="+mn-cs"/>
            </a:rPr>
            <a:t>7</a:t>
          </a:r>
          <a:r>
            <a:rPr kumimoji="1" lang="ja-JP" altLang="en-US" sz="1100" baseline="0">
              <a:solidFill>
                <a:sysClr val="windowText" lastClr="000000"/>
              </a:solidFill>
              <a:effectLst/>
              <a:latin typeface="+mn-lt"/>
              <a:ea typeface="+mn-ea"/>
              <a:cs typeface="+mn-cs"/>
            </a:rPr>
            <a:t>月　運行日数を最大</a:t>
          </a:r>
          <a:r>
            <a:rPr kumimoji="1" lang="en-US" altLang="ja-JP" sz="1100" baseline="0">
              <a:solidFill>
                <a:sysClr val="windowText" lastClr="000000"/>
              </a:solidFill>
              <a:effectLst/>
              <a:latin typeface="+mn-lt"/>
              <a:ea typeface="+mn-ea"/>
              <a:cs typeface="+mn-cs"/>
            </a:rPr>
            <a:t>3</a:t>
          </a:r>
          <a:r>
            <a:rPr kumimoji="1" lang="ja-JP" altLang="en-US" sz="1100" baseline="0">
              <a:solidFill>
                <a:sysClr val="windowText" lastClr="000000"/>
              </a:solidFill>
              <a:effectLst/>
              <a:latin typeface="+mn-lt"/>
              <a:ea typeface="+mn-ea"/>
              <a:cs typeface="+mn-cs"/>
            </a:rPr>
            <a:t>日間から最大</a:t>
          </a:r>
          <a:r>
            <a:rPr kumimoji="1" lang="en-US" altLang="ja-JP" sz="1100" baseline="0">
              <a:solidFill>
                <a:sysClr val="windowText" lastClr="000000"/>
              </a:solidFill>
              <a:effectLst/>
              <a:latin typeface="+mn-lt"/>
              <a:ea typeface="+mn-ea"/>
              <a:cs typeface="+mn-cs"/>
            </a:rPr>
            <a:t>10</a:t>
          </a:r>
          <a:r>
            <a:rPr kumimoji="1" lang="ja-JP" altLang="en-US" sz="1100" baseline="0">
              <a:solidFill>
                <a:sysClr val="windowText" lastClr="000000"/>
              </a:solidFill>
              <a:effectLst/>
              <a:latin typeface="+mn-lt"/>
              <a:ea typeface="+mn-ea"/>
              <a:cs typeface="+mn-cs"/>
            </a:rPr>
            <a:t>日間まで合算できるようにしました。</a:t>
          </a:r>
          <a:endParaRPr kumimoji="1" lang="en-US" altLang="ja-JP"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ver.4.0</a:t>
          </a:r>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令和元</a:t>
          </a:r>
          <a:r>
            <a:rPr kumimoji="1" lang="ja-JP" altLang="ja-JP" sz="1100" baseline="0">
              <a:solidFill>
                <a:schemeClr val="dk1"/>
              </a:solidFill>
              <a:effectLst/>
              <a:latin typeface="+mn-lt"/>
              <a:ea typeface="+mn-ea"/>
              <a:cs typeface="+mn-cs"/>
            </a:rPr>
            <a:t>年</a:t>
          </a:r>
          <a:r>
            <a:rPr kumimoji="1" lang="en-US" altLang="ja-JP" sz="1100" baseline="0">
              <a:solidFill>
                <a:schemeClr val="dk1"/>
              </a:solidFill>
              <a:effectLst/>
              <a:latin typeface="+mn-lt"/>
              <a:ea typeface="+mn-ea"/>
              <a:cs typeface="+mn-cs"/>
            </a:rPr>
            <a:t>10</a:t>
          </a:r>
          <a:r>
            <a:rPr kumimoji="1" lang="ja-JP" altLang="ja-JP" sz="1100" baseline="0">
              <a:solidFill>
                <a:schemeClr val="dk1"/>
              </a:solidFill>
              <a:effectLst/>
              <a:latin typeface="+mn-lt"/>
              <a:ea typeface="+mn-ea"/>
              <a:cs typeface="+mn-cs"/>
            </a:rPr>
            <a:t>月　</a:t>
          </a:r>
          <a:r>
            <a:rPr kumimoji="1" lang="ja-JP" altLang="en-US" sz="1100" baseline="0">
              <a:solidFill>
                <a:schemeClr val="dk1"/>
              </a:solidFill>
              <a:effectLst/>
              <a:latin typeface="+mn-lt"/>
              <a:ea typeface="+mn-ea"/>
              <a:cs typeface="+mn-cs"/>
            </a:rPr>
            <a:t>令和元年１０月１日からの消費税率引上げを反映</a:t>
          </a:r>
          <a:r>
            <a:rPr kumimoji="1" lang="ja-JP" altLang="ja-JP" sz="1100" baseline="0">
              <a:solidFill>
                <a:schemeClr val="dk1"/>
              </a:solidFill>
              <a:effectLst/>
              <a:latin typeface="+mn-lt"/>
              <a:ea typeface="+mn-ea"/>
              <a:cs typeface="+mn-cs"/>
            </a:rPr>
            <a:t>しました。</a:t>
          </a: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lang="en-US" altLang="ja-JP">
              <a:effectLst/>
            </a:rPr>
            <a:t>ver.5.0</a:t>
          </a:r>
          <a:r>
            <a:rPr lang="en-US" altLang="ja-JP" baseline="0">
              <a:effectLst/>
            </a:rPr>
            <a:t> </a:t>
          </a:r>
          <a:r>
            <a:rPr lang="ja-JP" altLang="en-US" baseline="0">
              <a:effectLst/>
            </a:rPr>
            <a:t>令和</a:t>
          </a:r>
          <a:r>
            <a:rPr lang="en-US" altLang="ja-JP" baseline="0">
              <a:effectLst/>
            </a:rPr>
            <a:t>5</a:t>
          </a:r>
          <a:r>
            <a:rPr lang="ja-JP" altLang="en-US" baseline="0">
              <a:effectLst/>
            </a:rPr>
            <a:t>年</a:t>
          </a:r>
          <a:r>
            <a:rPr lang="en-US" altLang="ja-JP" baseline="0">
              <a:effectLst/>
            </a:rPr>
            <a:t>9</a:t>
          </a:r>
          <a:r>
            <a:rPr lang="ja-JP" altLang="en-US" baseline="0">
              <a:effectLst/>
            </a:rPr>
            <a:t>月　　公示運賃・料金の改定等に伴い、修正しました。</a:t>
          </a:r>
          <a:endParaRPr lang="ja-JP" altLang="ja-JP">
            <a:effectLst/>
          </a:endParaRPr>
        </a:p>
        <a:p>
          <a:pPr eaLnBrk="1" fontAlgn="auto" latinLnBrk="0" hangingPunct="1"/>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114300</xdr:colOff>
      <xdr:row>4</xdr:row>
      <xdr:rowOff>133351</xdr:rowOff>
    </xdr:from>
    <xdr:to>
      <xdr:col>19</xdr:col>
      <xdr:colOff>185738</xdr:colOff>
      <xdr:row>6</xdr:row>
      <xdr:rowOff>9526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723900" y="457201"/>
          <a:ext cx="4395788" cy="342900"/>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176212</xdr:colOff>
      <xdr:row>4</xdr:row>
      <xdr:rowOff>131762</xdr:rowOff>
    </xdr:from>
    <xdr:to>
      <xdr:col>9</xdr:col>
      <xdr:colOff>100012</xdr:colOff>
      <xdr:row>6</xdr:row>
      <xdr:rowOff>14287</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903412" y="461962"/>
          <a:ext cx="68580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10</xdr:col>
      <xdr:colOff>201612</xdr:colOff>
      <xdr:row>4</xdr:row>
      <xdr:rowOff>127000</xdr:rowOff>
    </xdr:from>
    <xdr:to>
      <xdr:col>13</xdr:col>
      <xdr:colOff>52387</xdr:colOff>
      <xdr:row>6</xdr:row>
      <xdr:rowOff>9525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970212" y="457200"/>
          <a:ext cx="68897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14</xdr:col>
      <xdr:colOff>155575</xdr:colOff>
      <xdr:row>4</xdr:row>
      <xdr:rowOff>127000</xdr:rowOff>
    </xdr:from>
    <xdr:to>
      <xdr:col>17</xdr:col>
      <xdr:colOff>161925</xdr:colOff>
      <xdr:row>6</xdr:row>
      <xdr:rowOff>9525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041775" y="457200"/>
          <a:ext cx="692150"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a:t>
          </a:r>
        </a:p>
      </xdr:txBody>
    </xdr:sp>
    <xdr:clientData/>
  </xdr:twoCellAnchor>
  <xdr:twoCellAnchor>
    <xdr:from>
      <xdr:col>9</xdr:col>
      <xdr:colOff>87313</xdr:colOff>
      <xdr:row>39</xdr:row>
      <xdr:rowOff>100012</xdr:rowOff>
    </xdr:from>
    <xdr:to>
      <xdr:col>12</xdr:col>
      <xdr:colOff>228601</xdr:colOff>
      <xdr:row>41</xdr:row>
      <xdr:rowOff>166687</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554288" y="4281487"/>
          <a:ext cx="969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200" b="1"/>
        </a:p>
      </xdr:txBody>
    </xdr:sp>
    <xdr:clientData/>
  </xdr:twoCellAnchor>
  <xdr:twoCellAnchor>
    <xdr:from>
      <xdr:col>35</xdr:col>
      <xdr:colOff>76200</xdr:colOff>
      <xdr:row>8</xdr:row>
      <xdr:rowOff>85725</xdr:rowOff>
    </xdr:from>
    <xdr:to>
      <xdr:col>45</xdr:col>
      <xdr:colOff>123823</xdr:colOff>
      <xdr:row>10</xdr:row>
      <xdr:rowOff>137583</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9146117" y="1747308"/>
          <a:ext cx="2333623" cy="538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該当があれば入力してください</a:t>
          </a:r>
          <a:endParaRPr kumimoji="1" lang="en-US" altLang="ja-JP" sz="1100" b="1">
            <a:solidFill>
              <a:srgbClr val="FF0000"/>
            </a:solidFill>
          </a:endParaRPr>
        </a:p>
        <a:p>
          <a:r>
            <a:rPr kumimoji="1" lang="ja-JP" altLang="en-US" sz="1100" b="1">
              <a:solidFill>
                <a:srgbClr val="FF0000"/>
              </a:solidFill>
            </a:rPr>
            <a:t>　　　　　　　　↓</a:t>
          </a:r>
        </a:p>
      </xdr:txBody>
    </xdr:sp>
    <xdr:clientData/>
  </xdr:twoCellAnchor>
  <xdr:twoCellAnchor>
    <xdr:from>
      <xdr:col>1</xdr:col>
      <xdr:colOff>213562</xdr:colOff>
      <xdr:row>36</xdr:row>
      <xdr:rowOff>57653</xdr:rowOff>
    </xdr:from>
    <xdr:to>
      <xdr:col>11</xdr:col>
      <xdr:colOff>165433</xdr:colOff>
      <xdr:row>42</xdr:row>
      <xdr:rowOff>152903</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514351" y="4679785"/>
          <a:ext cx="2699082" cy="1107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走行距離を入力してください→</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5</xdr:row>
          <xdr:rowOff>38100</xdr:rowOff>
        </xdr:from>
        <xdr:to>
          <xdr:col>7</xdr:col>
          <xdr:colOff>66675</xdr:colOff>
          <xdr:row>5</xdr:row>
          <xdr:rowOff>209550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28575</xdr:rowOff>
        </xdr:from>
        <xdr:to>
          <xdr:col>11</xdr:col>
          <xdr:colOff>95250</xdr:colOff>
          <xdr:row>5</xdr:row>
          <xdr:rowOff>209550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27</xdr:col>
          <xdr:colOff>95250</xdr:colOff>
          <xdr:row>6</xdr:row>
          <xdr:rowOff>76200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38</xdr:row>
          <xdr:rowOff>123825</xdr:rowOff>
        </xdr:from>
        <xdr:to>
          <xdr:col>23</xdr:col>
          <xdr:colOff>133350</xdr:colOff>
          <xdr:row>42</xdr:row>
          <xdr:rowOff>133350</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5</xdr:row>
          <xdr:rowOff>38100</xdr:rowOff>
        </xdr:from>
        <xdr:to>
          <xdr:col>15</xdr:col>
          <xdr:colOff>47625</xdr:colOff>
          <xdr:row>5</xdr:row>
          <xdr:rowOff>209550</xdr:rowOff>
        </xdr:to>
        <xdr:sp macro="" textlink="">
          <xdr:nvSpPr>
            <xdr:cNvPr id="1047" name="Option Button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95250</xdr:rowOff>
        </xdr:from>
        <xdr:to>
          <xdr:col>29</xdr:col>
          <xdr:colOff>38100</xdr:colOff>
          <xdr:row>6</xdr:row>
          <xdr:rowOff>66675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38100</xdr:rowOff>
        </xdr:from>
        <xdr:to>
          <xdr:col>4</xdr:col>
          <xdr:colOff>19050</xdr:colOff>
          <xdr:row>85</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99</xdr:row>
          <xdr:rowOff>114300</xdr:rowOff>
        </xdr:from>
        <xdr:to>
          <xdr:col>4</xdr:col>
          <xdr:colOff>47625</xdr:colOff>
          <xdr:row>101</xdr:row>
          <xdr:rowOff>57150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38100</xdr:rowOff>
        </xdr:from>
        <xdr:to>
          <xdr:col>4</xdr:col>
          <xdr:colOff>28575</xdr:colOff>
          <xdr:row>85</xdr:row>
          <xdr:rowOff>47625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xdr:row>
          <xdr:rowOff>133350</xdr:rowOff>
        </xdr:from>
        <xdr:to>
          <xdr:col>9</xdr:col>
          <xdr:colOff>95250</xdr:colOff>
          <xdr:row>4</xdr:row>
          <xdr:rowOff>9525</xdr:rowOff>
        </xdr:to>
        <xdr:sp macro="" textlink="">
          <xdr:nvSpPr>
            <xdr:cNvPr id="1056" name="Drop Down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114300</xdr:colOff>
      <xdr:row>4</xdr:row>
      <xdr:rowOff>258536</xdr:rowOff>
    </xdr:from>
    <xdr:to>
      <xdr:col>19</xdr:col>
      <xdr:colOff>185738</xdr:colOff>
      <xdr:row>6</xdr:row>
      <xdr:rowOff>12700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23900" y="1144361"/>
          <a:ext cx="4510088" cy="373289"/>
        </a:xfrm>
        <a:prstGeom prst="roundRect">
          <a:avLst/>
        </a:prstGeom>
        <a:noFill/>
        <a:ln>
          <a:solidFill>
            <a:schemeClr val="tx1">
              <a:alpha val="31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214312</xdr:colOff>
      <xdr:row>4</xdr:row>
      <xdr:rowOff>293232</xdr:rowOff>
    </xdr:from>
    <xdr:to>
      <xdr:col>9</xdr:col>
      <xdr:colOff>138112</xdr:colOff>
      <xdr:row>6</xdr:row>
      <xdr:rowOff>68034</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928812" y="1179057"/>
          <a:ext cx="676275" cy="393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大型</a:t>
          </a:r>
        </a:p>
      </xdr:txBody>
    </xdr:sp>
    <xdr:clientData/>
  </xdr:twoCellAnchor>
  <xdr:twoCellAnchor>
    <xdr:from>
      <xdr:col>10</xdr:col>
      <xdr:colOff>239712</xdr:colOff>
      <xdr:row>4</xdr:row>
      <xdr:rowOff>315684</xdr:rowOff>
    </xdr:from>
    <xdr:to>
      <xdr:col>13</xdr:col>
      <xdr:colOff>90487</xdr:colOff>
      <xdr:row>6</xdr:row>
      <xdr:rowOff>27213</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982912" y="1201509"/>
          <a:ext cx="679450" cy="330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中型</a:t>
          </a:r>
        </a:p>
      </xdr:txBody>
    </xdr:sp>
    <xdr:clientData/>
  </xdr:twoCellAnchor>
  <xdr:twoCellAnchor>
    <xdr:from>
      <xdr:col>14</xdr:col>
      <xdr:colOff>193675</xdr:colOff>
      <xdr:row>4</xdr:row>
      <xdr:rowOff>315684</xdr:rowOff>
    </xdr:from>
    <xdr:to>
      <xdr:col>17</xdr:col>
      <xdr:colOff>200025</xdr:colOff>
      <xdr:row>6</xdr:row>
      <xdr:rowOff>27213</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041775" y="1201509"/>
          <a:ext cx="682625" cy="330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600" b="1"/>
            <a:t>小型</a:t>
          </a:r>
        </a:p>
      </xdr:txBody>
    </xdr:sp>
    <xdr:clientData/>
  </xdr:twoCellAnchor>
  <mc:AlternateContent xmlns:mc="http://schemas.openxmlformats.org/markup-compatibility/2006">
    <mc:Choice xmlns:a14="http://schemas.microsoft.com/office/drawing/2010/main" Requires="a14">
      <xdr:twoCellAnchor editAs="oneCell">
        <xdr:from>
          <xdr:col>5</xdr:col>
          <xdr:colOff>38100</xdr:colOff>
          <xdr:row>4</xdr:row>
          <xdr:rowOff>95250</xdr:rowOff>
        </xdr:from>
        <xdr:to>
          <xdr:col>29</xdr:col>
          <xdr:colOff>66675</xdr:colOff>
          <xdr:row>5</xdr:row>
          <xdr:rowOff>209550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37</xdr:row>
          <xdr:rowOff>123825</xdr:rowOff>
        </xdr:from>
        <xdr:to>
          <xdr:col>25</xdr:col>
          <xdr:colOff>19050</xdr:colOff>
          <xdr:row>42</xdr:row>
          <xdr:rowOff>9525</xdr:rowOff>
        </xdr:to>
        <xdr:sp macro="" textlink="">
          <xdr:nvSpPr>
            <xdr:cNvPr id="5122" name="Group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95250</xdr:rowOff>
        </xdr:from>
        <xdr:to>
          <xdr:col>30</xdr:col>
          <xdr:colOff>95250</xdr:colOff>
          <xdr:row>5</xdr:row>
          <xdr:rowOff>190500</xdr:rowOff>
        </xdr:to>
        <xdr:sp macro="" textlink="">
          <xdr:nvSpPr>
            <xdr:cNvPr id="5123" name="Group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70</xdr:row>
          <xdr:rowOff>38100</xdr:rowOff>
        </xdr:from>
        <xdr:to>
          <xdr:col>4</xdr:col>
          <xdr:colOff>114300</xdr:colOff>
          <xdr:row>71</xdr:row>
          <xdr:rowOff>152400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83</xdr:row>
          <xdr:rowOff>0</xdr:rowOff>
        </xdr:from>
        <xdr:to>
          <xdr:col>4</xdr:col>
          <xdr:colOff>114300</xdr:colOff>
          <xdr:row>84</xdr:row>
          <xdr:rowOff>85725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xdr:row>
          <xdr:rowOff>142875</xdr:rowOff>
        </xdr:from>
        <xdr:to>
          <xdr:col>9</xdr:col>
          <xdr:colOff>133350</xdr:colOff>
          <xdr:row>4</xdr:row>
          <xdr:rowOff>19050</xdr:rowOff>
        </xdr:to>
        <xdr:sp macro="" textlink="">
          <xdr:nvSpPr>
            <xdr:cNvPr id="5126" name="Drop Dow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xdr:row>
          <xdr:rowOff>19050</xdr:rowOff>
        </xdr:from>
        <xdr:to>
          <xdr:col>9</xdr:col>
          <xdr:colOff>104775</xdr:colOff>
          <xdr:row>5</xdr:row>
          <xdr:rowOff>190500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5</xdr:row>
          <xdr:rowOff>19050</xdr:rowOff>
        </xdr:from>
        <xdr:to>
          <xdr:col>13</xdr:col>
          <xdr:colOff>38100</xdr:colOff>
          <xdr:row>5</xdr:row>
          <xdr:rowOff>190500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5</xdr:row>
          <xdr:rowOff>28575</xdr:rowOff>
        </xdr:from>
        <xdr:to>
          <xdr:col>17</xdr:col>
          <xdr:colOff>133350</xdr:colOff>
          <xdr:row>5</xdr:row>
          <xdr:rowOff>200025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RowColHeaders="0" tabSelected="1" view="pageBreakPreview" zoomScaleNormal="100" zoomScaleSheetLayoutView="100" workbookViewId="0">
      <selection activeCell="O9" sqref="O9"/>
    </sheetView>
  </sheetViews>
  <sheetFormatPr defaultRowHeight="13.5" x14ac:dyDescent="0.15"/>
  <sheetData/>
  <phoneticPr fontId="2"/>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Q135"/>
  <sheetViews>
    <sheetView showGridLines="0" showRowColHeaders="0" view="pageBreakPreview" topLeftCell="A12" zoomScale="90" zoomScaleNormal="90" zoomScaleSheetLayoutView="90" workbookViewId="0">
      <selection activeCell="T12" sqref="T12:U12"/>
    </sheetView>
  </sheetViews>
  <sheetFormatPr defaultColWidth="0" defaultRowHeight="13.5" zeroHeight="1" x14ac:dyDescent="0.15"/>
  <cols>
    <col min="1" max="2" width="4" style="5" customWidth="1"/>
    <col min="3" max="7" width="3.625" style="5" customWidth="1"/>
    <col min="8" max="9" width="3.125" style="5" customWidth="1"/>
    <col min="10" max="15" width="3.625" style="5" customWidth="1"/>
    <col min="16" max="16" width="2.625" style="5" customWidth="1"/>
    <col min="17" max="17" width="3.375" style="5" customWidth="1"/>
    <col min="18" max="18" width="3.75" style="103" customWidth="1"/>
    <col min="19" max="20" width="4.5" style="5" customWidth="1"/>
    <col min="21" max="21" width="2.625" style="5" customWidth="1"/>
    <col min="22" max="23" width="3.625" style="5" customWidth="1"/>
    <col min="24" max="24" width="4.25" style="5" customWidth="1"/>
    <col min="25" max="25" width="2.375" style="5" customWidth="1"/>
    <col min="26" max="26" width="3.125" style="5" customWidth="1"/>
    <col min="27" max="27" width="3" style="5" customWidth="1"/>
    <col min="28" max="29" width="2.625" style="5" customWidth="1"/>
    <col min="30" max="30" width="3.625" style="5" customWidth="1"/>
    <col min="31" max="31" width="2.125" style="5" customWidth="1"/>
    <col min="32" max="33" width="2.625" style="5" customWidth="1"/>
    <col min="34" max="35" width="3.625" style="5" customWidth="1"/>
    <col min="36" max="38" width="3" style="5" customWidth="1"/>
    <col min="39" max="40" width="2.625" style="5" customWidth="1"/>
    <col min="41" max="42" width="2.75" style="5" customWidth="1"/>
    <col min="43" max="44" width="3.125" style="5" customWidth="1"/>
    <col min="45" max="45" width="3.625" style="5" customWidth="1"/>
    <col min="46" max="47" width="3.875" style="5" customWidth="1"/>
    <col min="48" max="48" width="3.875" style="8" customWidth="1"/>
    <col min="49" max="49" width="7" style="24" hidden="1" customWidth="1"/>
    <col min="50" max="50" width="9.25" style="24" hidden="1" customWidth="1"/>
    <col min="51" max="51" width="4" style="24" hidden="1" customWidth="1"/>
    <col min="52" max="53" width="3.875" style="24" hidden="1" customWidth="1"/>
    <col min="54" max="54" width="3.25" style="24" hidden="1" customWidth="1"/>
    <col min="55" max="55" width="3.875" style="24" hidden="1" customWidth="1"/>
    <col min="56" max="61" width="3.5" style="24" hidden="1" customWidth="1"/>
    <col min="62" max="62" width="9.875" style="24" hidden="1" customWidth="1"/>
    <col min="63" max="63" width="9.875" style="5" hidden="1" customWidth="1"/>
    <col min="64" max="64" width="11.875" style="5" hidden="1" customWidth="1"/>
    <col min="65" max="65" width="3.375" style="5" hidden="1" customWidth="1"/>
    <col min="66" max="66" width="8.75" style="5" hidden="1" customWidth="1"/>
    <col min="67" max="67" width="9" style="5" hidden="1" customWidth="1"/>
    <col min="68" max="68" width="7.625" style="5" hidden="1" customWidth="1"/>
    <col min="69" max="69" width="0" style="5" hidden="1" customWidth="1"/>
    <col min="70" max="16384" width="9" style="5" hidden="1"/>
  </cols>
  <sheetData>
    <row r="1" spans="2:69" ht="6.75" customHeight="1" thickBot="1" x14ac:dyDescent="0.2">
      <c r="D1" s="248" t="s">
        <v>94</v>
      </c>
      <c r="E1" s="248"/>
      <c r="F1" s="248"/>
      <c r="G1" s="248"/>
      <c r="H1" s="248"/>
      <c r="I1" s="248"/>
      <c r="J1" s="248"/>
      <c r="K1" s="248"/>
      <c r="L1" s="248"/>
      <c r="M1" s="248"/>
      <c r="N1" s="248"/>
      <c r="O1" s="248"/>
      <c r="P1" s="248"/>
      <c r="Q1" s="248"/>
      <c r="R1" s="248"/>
      <c r="S1" s="248"/>
      <c r="T1" s="248"/>
      <c r="U1" s="248"/>
      <c r="V1" s="248"/>
      <c r="W1" s="248"/>
      <c r="X1" s="248"/>
      <c r="Y1" s="248"/>
      <c r="Z1" s="248"/>
      <c r="AA1" s="248"/>
    </row>
    <row r="2" spans="2:69" ht="21" customHeight="1" thickBot="1" x14ac:dyDescent="0.2">
      <c r="D2" s="248"/>
      <c r="E2" s="248"/>
      <c r="F2" s="248"/>
      <c r="G2" s="248"/>
      <c r="H2" s="248"/>
      <c r="I2" s="248"/>
      <c r="J2" s="248"/>
      <c r="K2" s="248"/>
      <c r="L2" s="248"/>
      <c r="M2" s="248"/>
      <c r="N2" s="248"/>
      <c r="O2" s="248"/>
      <c r="P2" s="248"/>
      <c r="Q2" s="248"/>
      <c r="R2" s="248"/>
      <c r="S2" s="248"/>
      <c r="T2" s="248"/>
      <c r="U2" s="248"/>
      <c r="V2" s="248"/>
      <c r="W2" s="248"/>
      <c r="X2" s="248"/>
      <c r="Y2" s="248"/>
      <c r="Z2" s="248"/>
      <c r="AA2" s="248"/>
      <c r="AB2" s="25"/>
      <c r="AC2" s="26"/>
      <c r="AD2" s="27"/>
      <c r="AE2" s="28"/>
      <c r="AF2" s="102" t="s">
        <v>114</v>
      </c>
      <c r="AG2" s="29"/>
      <c r="AH2" s="29"/>
      <c r="AI2" s="29"/>
      <c r="AJ2" s="29"/>
      <c r="AK2" s="29"/>
      <c r="AL2" s="29"/>
      <c r="AM2" s="29"/>
      <c r="AN2" s="29"/>
      <c r="AO2" s="29"/>
      <c r="BE2" s="250"/>
      <c r="BF2" s="250"/>
      <c r="BG2" s="250"/>
      <c r="BH2" s="250"/>
      <c r="BI2" s="250"/>
      <c r="BJ2" s="250"/>
    </row>
    <row r="3" spans="2:69" ht="21" customHeight="1" x14ac:dyDescent="0.15">
      <c r="D3" s="114"/>
      <c r="E3" s="114"/>
      <c r="F3" s="114"/>
      <c r="G3" s="114"/>
      <c r="H3" s="114"/>
      <c r="I3" s="114"/>
      <c r="J3" s="114"/>
      <c r="K3" s="114"/>
      <c r="L3" s="114"/>
      <c r="M3" s="114"/>
      <c r="N3" s="114"/>
      <c r="O3" s="114"/>
      <c r="P3" s="114"/>
      <c r="Q3" s="114"/>
      <c r="R3" s="114"/>
      <c r="S3" s="114"/>
      <c r="T3" s="114"/>
      <c r="U3" s="114"/>
      <c r="V3" s="114"/>
      <c r="W3" s="114"/>
      <c r="X3" s="114"/>
      <c r="Y3" s="114"/>
      <c r="Z3" s="114"/>
      <c r="AA3" s="114"/>
      <c r="AB3" s="25"/>
      <c r="AC3" s="30"/>
      <c r="AD3" s="30"/>
      <c r="AE3" s="30"/>
      <c r="AF3" s="29"/>
      <c r="AG3" s="29"/>
      <c r="AH3" s="29"/>
      <c r="AI3" s="29"/>
      <c r="AJ3" s="29"/>
      <c r="AK3" s="29"/>
      <c r="AL3" s="29"/>
      <c r="AM3" s="29"/>
      <c r="AN3" s="29"/>
      <c r="AO3" s="29"/>
      <c r="BE3" s="162"/>
      <c r="BF3" s="162"/>
      <c r="BG3" s="162"/>
      <c r="BH3" s="162"/>
      <c r="BI3" s="162"/>
      <c r="BJ3" s="162"/>
    </row>
    <row r="4" spans="2:69" ht="21" customHeight="1" x14ac:dyDescent="0.15">
      <c r="C4" s="8"/>
      <c r="D4" s="114"/>
      <c r="E4" s="114"/>
      <c r="F4" s="114"/>
      <c r="G4" s="114"/>
      <c r="H4" s="114"/>
      <c r="I4" s="114"/>
      <c r="J4" s="114"/>
      <c r="K4" s="55" t="s">
        <v>93</v>
      </c>
      <c r="L4" s="114"/>
      <c r="N4" s="92"/>
      <c r="O4" s="92"/>
      <c r="Q4" s="92"/>
      <c r="R4" s="114"/>
      <c r="S4" s="114"/>
      <c r="T4" s="114"/>
      <c r="U4" s="114"/>
      <c r="V4" s="114"/>
      <c r="W4" s="93"/>
      <c r="X4" s="94"/>
      <c r="Y4" s="114"/>
      <c r="Z4" s="114"/>
      <c r="AA4" s="114"/>
      <c r="AB4" s="25"/>
      <c r="AC4" s="30"/>
      <c r="AD4" s="30"/>
      <c r="AE4" s="30"/>
      <c r="AF4" s="29"/>
      <c r="AG4" s="29"/>
      <c r="AH4" s="29"/>
      <c r="AI4" s="29"/>
      <c r="AJ4" s="29"/>
      <c r="AK4" s="29"/>
      <c r="AL4" s="29"/>
      <c r="AM4" s="29"/>
      <c r="AN4" s="29"/>
      <c r="AO4" s="29"/>
      <c r="AW4" s="24" t="str">
        <f>VLOOKUP($AW$5,$AW$13:$AX$36,2,FALSE)</f>
        <v>中国</v>
      </c>
      <c r="BE4" s="162"/>
      <c r="BF4" s="162"/>
      <c r="BG4" s="162"/>
      <c r="BH4" s="162"/>
      <c r="BI4" s="162"/>
      <c r="BJ4" s="162"/>
    </row>
    <row r="5" spans="2:69" x14ac:dyDescent="0.15">
      <c r="AW5" s="24">
        <v>6</v>
      </c>
    </row>
    <row r="6" spans="2:69" ht="23.25" customHeight="1" x14ac:dyDescent="0.15">
      <c r="D6" s="32" t="s">
        <v>0</v>
      </c>
      <c r="E6" s="33"/>
      <c r="G6" s="121"/>
      <c r="H6" s="121"/>
      <c r="I6" s="103"/>
      <c r="J6" s="103"/>
      <c r="K6" s="103"/>
      <c r="L6" s="103"/>
      <c r="M6" s="103"/>
      <c r="N6" s="103"/>
      <c r="O6" s="103"/>
      <c r="P6" s="103"/>
      <c r="Q6" s="103"/>
      <c r="S6" s="122"/>
      <c r="U6" s="34" t="s">
        <v>92</v>
      </c>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8"/>
      <c r="AW6" s="142"/>
      <c r="AX6" s="142"/>
      <c r="AY6" s="142"/>
      <c r="AZ6" s="142"/>
      <c r="BA6" s="142"/>
      <c r="BB6" s="142"/>
      <c r="BC6" s="142"/>
      <c r="BD6" s="142"/>
      <c r="BE6" s="142"/>
      <c r="BF6" s="141"/>
      <c r="BG6" s="141"/>
      <c r="BH6" s="141"/>
      <c r="BI6" s="141"/>
      <c r="BK6" s="103"/>
    </row>
    <row r="7" spans="2:69" ht="9" customHeight="1" x14ac:dyDescent="0.15">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8"/>
      <c r="AW7" s="142"/>
      <c r="AX7" s="142"/>
      <c r="AY7" s="142"/>
      <c r="AZ7" s="142"/>
      <c r="BA7" s="142"/>
      <c r="BB7" s="142"/>
      <c r="BC7" s="142"/>
      <c r="BD7" s="142"/>
      <c r="BE7" s="142"/>
    </row>
    <row r="8" spans="2:69" ht="15.75" customHeight="1" x14ac:dyDescent="0.15">
      <c r="B8" s="249" t="s">
        <v>32</v>
      </c>
      <c r="C8" s="249"/>
      <c r="D8" s="249"/>
      <c r="E8" s="35"/>
      <c r="F8" s="35"/>
      <c r="N8" s="241"/>
      <c r="O8" s="241"/>
      <c r="P8" s="241"/>
      <c r="Q8" s="34"/>
      <c r="R8" s="241" t="s">
        <v>110</v>
      </c>
      <c r="S8" s="241"/>
      <c r="T8" s="241"/>
      <c r="U8" s="8"/>
      <c r="V8" s="8"/>
      <c r="W8" s="8"/>
      <c r="X8" s="8"/>
      <c r="Y8" s="8"/>
      <c r="Z8" s="8"/>
      <c r="AA8" s="8"/>
      <c r="AB8" s="8"/>
      <c r="AC8" s="8"/>
      <c r="AD8" s="8"/>
      <c r="AE8" s="8"/>
      <c r="AF8" s="8"/>
      <c r="AG8" s="8"/>
      <c r="AI8" s="8"/>
      <c r="AJ8" s="8"/>
      <c r="AK8" s="8"/>
    </row>
    <row r="9" spans="2:69" ht="19.5" customHeight="1" x14ac:dyDescent="0.15">
      <c r="B9" s="249"/>
      <c r="C9" s="249"/>
      <c r="D9" s="249"/>
      <c r="E9" s="35"/>
      <c r="F9" s="35"/>
      <c r="G9" s="5" t="s">
        <v>20</v>
      </c>
      <c r="I9" s="107"/>
      <c r="J9" s="203"/>
      <c r="K9" s="203"/>
      <c r="L9" s="236"/>
      <c r="N9" s="203" t="s">
        <v>13</v>
      </c>
      <c r="O9" s="203"/>
      <c r="P9" s="236"/>
      <c r="Q9" s="36"/>
      <c r="R9" s="226">
        <f ca="1">VLOOKUP($AW$9,INDIRECT(AW4),4)</f>
        <v>6320</v>
      </c>
      <c r="S9" s="226"/>
      <c r="T9" s="226"/>
      <c r="U9" s="37" t="s">
        <v>90</v>
      </c>
      <c r="V9" s="13"/>
      <c r="W9" s="13"/>
      <c r="X9" s="13"/>
      <c r="Y9" s="13"/>
      <c r="Z9" s="13"/>
      <c r="AB9" s="13"/>
      <c r="AC9" s="13"/>
      <c r="AD9" s="13"/>
      <c r="AE9" s="13"/>
      <c r="AF9" s="13"/>
      <c r="AG9" s="13"/>
      <c r="AJ9" s="1"/>
      <c r="AK9" s="1"/>
      <c r="AW9" s="24">
        <v>1</v>
      </c>
    </row>
    <row r="10" spans="2:69" ht="19.5" customHeight="1" x14ac:dyDescent="0.15">
      <c r="B10" s="124"/>
      <c r="C10" s="124"/>
      <c r="D10" s="124"/>
      <c r="E10" s="35"/>
      <c r="F10" s="35"/>
      <c r="I10" s="107"/>
      <c r="J10" s="103"/>
      <c r="K10" s="103"/>
      <c r="L10" s="115"/>
      <c r="N10" s="119"/>
      <c r="O10" s="119"/>
      <c r="P10" s="119"/>
      <c r="Q10" s="2"/>
      <c r="R10" s="119"/>
      <c r="S10" s="119"/>
      <c r="T10" s="119"/>
      <c r="U10" s="37"/>
      <c r="V10" s="13"/>
      <c r="W10" s="13"/>
      <c r="X10" s="13"/>
      <c r="Y10" s="13"/>
      <c r="Z10" s="13"/>
      <c r="AB10" s="13"/>
      <c r="AC10" s="13"/>
      <c r="AD10" s="13"/>
      <c r="AE10" s="13"/>
      <c r="AF10" s="13"/>
      <c r="AG10" s="13"/>
      <c r="AJ10" s="1"/>
      <c r="AK10" s="1"/>
    </row>
    <row r="11" spans="2:69" ht="15.75" customHeight="1" thickBot="1" x14ac:dyDescent="0.2">
      <c r="P11" s="203" t="s">
        <v>56</v>
      </c>
      <c r="Q11" s="203"/>
      <c r="R11" s="203"/>
      <c r="S11" s="203"/>
      <c r="T11" s="203"/>
      <c r="U11" s="203"/>
      <c r="W11" s="140"/>
      <c r="AB11" s="203" t="s">
        <v>57</v>
      </c>
      <c r="AC11" s="203"/>
      <c r="AD11" s="203"/>
      <c r="AE11" s="203"/>
      <c r="AF11" s="203"/>
      <c r="AG11" s="203"/>
      <c r="AH11" s="38"/>
      <c r="AJ11" s="217" t="s">
        <v>38</v>
      </c>
      <c r="AK11" s="217"/>
      <c r="AL11" s="217"/>
      <c r="AM11" s="217"/>
      <c r="AN11" s="217"/>
      <c r="AO11" s="217"/>
      <c r="AP11" s="217"/>
      <c r="AQ11" s="217"/>
      <c r="AR11" s="217"/>
      <c r="AS11" s="39"/>
      <c r="AT11" s="40"/>
      <c r="AU11" s="12"/>
      <c r="AV11" s="19"/>
      <c r="AW11" s="163"/>
      <c r="AX11" s="163"/>
      <c r="AY11" s="163"/>
    </row>
    <row r="12" spans="2:69" ht="18.75" customHeight="1" thickBot="1" x14ac:dyDescent="0.2">
      <c r="B12" s="9"/>
      <c r="C12" s="9"/>
      <c r="D12" s="9"/>
      <c r="J12" s="38"/>
      <c r="K12" s="38"/>
      <c r="L12" s="38"/>
      <c r="M12" s="21" t="s">
        <v>95</v>
      </c>
      <c r="N12" s="38" t="s">
        <v>28</v>
      </c>
      <c r="O12" s="13"/>
      <c r="P12" s="234"/>
      <c r="Q12" s="235"/>
      <c r="R12" s="157" t="s">
        <v>16</v>
      </c>
      <c r="S12" s="1"/>
      <c r="T12" s="232"/>
      <c r="U12" s="233"/>
      <c r="V12" s="13" t="s">
        <v>30</v>
      </c>
      <c r="W12" s="13"/>
      <c r="X12" s="115"/>
      <c r="Y12" s="115"/>
      <c r="Z12" s="115"/>
      <c r="AA12" s="115"/>
      <c r="AB12" s="236">
        <f>IF(OR($T$12="",$T$12=0,),IF(OR($P$12="",$P$12=0),0,IF($P$12&gt;3,$P$12+2,5)),IF(OR($P$12="",$P$12&lt;3),5,$P$12+2))</f>
        <v>0</v>
      </c>
      <c r="AC12" s="236"/>
      <c r="AD12" s="1" t="s">
        <v>16</v>
      </c>
      <c r="AE12" s="115"/>
      <c r="AF12" s="237">
        <f>IF($P$12&lt;3,0,$T$12)</f>
        <v>0</v>
      </c>
      <c r="AG12" s="237"/>
      <c r="AH12" s="1" t="s">
        <v>22</v>
      </c>
      <c r="AI12" s="115"/>
      <c r="AJ12" s="203" t="s">
        <v>28</v>
      </c>
      <c r="AK12" s="203"/>
      <c r="AL12" s="203"/>
      <c r="AM12" s="234"/>
      <c r="AN12" s="235"/>
      <c r="AO12" s="236" t="s">
        <v>16</v>
      </c>
      <c r="AP12" s="236"/>
      <c r="AQ12" s="232"/>
      <c r="AR12" s="233"/>
      <c r="AS12" s="1" t="s">
        <v>22</v>
      </c>
      <c r="AT12" s="1"/>
      <c r="AU12" s="1"/>
      <c r="AV12" s="20"/>
      <c r="BB12" s="144"/>
      <c r="BC12" s="144"/>
      <c r="BD12" s="144"/>
      <c r="BE12" s="144"/>
      <c r="BF12" s="144"/>
      <c r="BG12" s="144"/>
      <c r="BH12" s="144"/>
      <c r="BI12" s="144"/>
    </row>
    <row r="13" spans="2:69" ht="15" customHeight="1" thickBot="1" x14ac:dyDescent="0.2">
      <c r="B13" s="9"/>
      <c r="C13" s="9"/>
      <c r="D13" s="9"/>
      <c r="J13" s="103"/>
      <c r="K13" s="103"/>
      <c r="L13" s="103"/>
      <c r="M13" s="38"/>
      <c r="N13" s="38"/>
      <c r="O13" s="13"/>
      <c r="P13" s="41"/>
      <c r="Q13" s="41"/>
      <c r="R13" s="115"/>
      <c r="S13" s="1"/>
      <c r="T13" s="41"/>
      <c r="U13" s="41"/>
      <c r="V13" s="238" t="str">
        <f>IF(P12&gt;=3,"",IF(P12*60+T12&gt;0,"走行時間は最低３時間のため＋２時間で５時間となります",""))</f>
        <v/>
      </c>
      <c r="W13" s="238"/>
      <c r="X13" s="238"/>
      <c r="Y13" s="238"/>
      <c r="Z13" s="238"/>
      <c r="AA13" s="238"/>
      <c r="AB13" s="238"/>
      <c r="AC13" s="238"/>
      <c r="AD13" s="238"/>
      <c r="AE13" s="238"/>
      <c r="AF13" s="238"/>
      <c r="AG13" s="238"/>
      <c r="AH13" s="238"/>
      <c r="AI13" s="238"/>
      <c r="AJ13" s="238"/>
      <c r="AM13" s="42"/>
      <c r="AN13" s="42"/>
      <c r="AQ13" s="41"/>
      <c r="AR13" s="42"/>
      <c r="AS13" s="116"/>
      <c r="AT13" s="1"/>
      <c r="AU13" s="1"/>
      <c r="AV13" s="20"/>
      <c r="AW13" s="24">
        <v>1</v>
      </c>
      <c r="AX13" s="24" t="s">
        <v>68</v>
      </c>
      <c r="BB13" s="144"/>
      <c r="BC13" s="144"/>
      <c r="BD13" s="144"/>
      <c r="BE13" s="144"/>
      <c r="BF13" s="144"/>
      <c r="BG13" s="144"/>
      <c r="BH13" s="144"/>
      <c r="BI13" s="144"/>
    </row>
    <row r="14" spans="2:69" ht="18.75" customHeight="1" thickBot="1" x14ac:dyDescent="0.2">
      <c r="B14" s="9"/>
      <c r="C14" s="9"/>
      <c r="D14" s="9"/>
      <c r="J14" s="38"/>
      <c r="K14" s="38"/>
      <c r="L14" s="38"/>
      <c r="M14" s="21" t="s">
        <v>95</v>
      </c>
      <c r="N14" s="38" t="s">
        <v>27</v>
      </c>
      <c r="O14" s="13"/>
      <c r="P14" s="234"/>
      <c r="Q14" s="235"/>
      <c r="R14" s="157" t="s">
        <v>16</v>
      </c>
      <c r="S14" s="1"/>
      <c r="T14" s="232"/>
      <c r="U14" s="233"/>
      <c r="V14" s="157" t="s">
        <v>30</v>
      </c>
      <c r="W14" s="13"/>
      <c r="X14" s="115"/>
      <c r="Y14" s="115"/>
      <c r="Z14" s="115"/>
      <c r="AA14" s="115"/>
      <c r="AB14" s="236">
        <f>IF(OR($T$14="",$T$14=0,),IF(OR($P$14="",$P$14=0),0,IF($P$14&gt;3,$P$14+2,5)),IF(OR($P$14="",$P$14&lt;3),5,$P$14+2))</f>
        <v>0</v>
      </c>
      <c r="AC14" s="236"/>
      <c r="AD14" s="1" t="s">
        <v>16</v>
      </c>
      <c r="AE14" s="115"/>
      <c r="AF14" s="237">
        <f>IF($P$14&lt;3,0,$T$14)</f>
        <v>0</v>
      </c>
      <c r="AG14" s="237"/>
      <c r="AH14" s="1" t="s">
        <v>22</v>
      </c>
      <c r="AI14" s="115"/>
      <c r="AJ14" s="203" t="s">
        <v>27</v>
      </c>
      <c r="AK14" s="203"/>
      <c r="AL14" s="203"/>
      <c r="AM14" s="234"/>
      <c r="AN14" s="235"/>
      <c r="AO14" s="236" t="s">
        <v>16</v>
      </c>
      <c r="AP14" s="236"/>
      <c r="AQ14" s="232"/>
      <c r="AR14" s="233"/>
      <c r="AS14" s="1" t="s">
        <v>22</v>
      </c>
      <c r="AT14" s="1"/>
      <c r="AU14" s="1"/>
      <c r="AV14" s="20"/>
      <c r="AW14" s="24">
        <v>2</v>
      </c>
      <c r="AX14" s="24" t="s">
        <v>69</v>
      </c>
      <c r="BB14" s="144"/>
      <c r="BC14" s="144"/>
      <c r="BD14" s="144"/>
      <c r="BE14" s="144"/>
      <c r="BF14" s="144"/>
      <c r="BG14" s="144"/>
      <c r="BH14" s="144"/>
      <c r="BI14" s="144"/>
      <c r="BN14" s="103"/>
      <c r="BP14" s="11"/>
      <c r="BQ14" s="164"/>
    </row>
    <row r="15" spans="2:69" ht="15" customHeight="1" thickBot="1" x14ac:dyDescent="0.2">
      <c r="B15" s="9"/>
      <c r="C15" s="9"/>
      <c r="D15" s="9"/>
      <c r="M15" s="38"/>
      <c r="N15" s="38"/>
      <c r="O15" s="13"/>
      <c r="P15" s="41"/>
      <c r="Q15" s="41"/>
      <c r="R15" s="115"/>
      <c r="S15" s="1"/>
      <c r="T15" s="41"/>
      <c r="U15" s="41"/>
      <c r="V15" s="238" t="str">
        <f>IF(P14&gt;=3,"",IF(P14*60+T14&gt;0,"走行時間は最低３時間のため＋２時間で５時間となります",""))</f>
        <v/>
      </c>
      <c r="W15" s="238"/>
      <c r="X15" s="238"/>
      <c r="Y15" s="238"/>
      <c r="Z15" s="238"/>
      <c r="AA15" s="238"/>
      <c r="AB15" s="238"/>
      <c r="AC15" s="238"/>
      <c r="AD15" s="238"/>
      <c r="AE15" s="238"/>
      <c r="AF15" s="238"/>
      <c r="AG15" s="238"/>
      <c r="AH15" s="238"/>
      <c r="AI15" s="238"/>
      <c r="AJ15" s="238"/>
      <c r="AM15" s="42"/>
      <c r="AN15" s="42"/>
      <c r="AQ15" s="41"/>
      <c r="AR15" s="42"/>
      <c r="AS15" s="116"/>
      <c r="AT15" s="1"/>
      <c r="AU15" s="1"/>
      <c r="AV15" s="20"/>
      <c r="AW15" s="24">
        <v>3</v>
      </c>
      <c r="AX15" s="24" t="s">
        <v>70</v>
      </c>
      <c r="BB15" s="144"/>
      <c r="BC15" s="144"/>
      <c r="BD15" s="144"/>
      <c r="BE15" s="144"/>
      <c r="BF15" s="144"/>
      <c r="BG15" s="144"/>
      <c r="BH15" s="144"/>
      <c r="BI15" s="144"/>
      <c r="BN15" s="103"/>
      <c r="BP15" s="11"/>
      <c r="BQ15" s="164"/>
    </row>
    <row r="16" spans="2:69" ht="18.75" customHeight="1" thickBot="1" x14ac:dyDescent="0.2">
      <c r="B16" s="9"/>
      <c r="C16" s="9"/>
      <c r="D16" s="9"/>
      <c r="J16" s="38"/>
      <c r="K16" s="38"/>
      <c r="L16" s="38"/>
      <c r="M16" s="21" t="s">
        <v>95</v>
      </c>
      <c r="N16" s="38" t="s">
        <v>29</v>
      </c>
      <c r="O16" s="13"/>
      <c r="P16" s="234"/>
      <c r="Q16" s="235"/>
      <c r="R16" s="157" t="s">
        <v>16</v>
      </c>
      <c r="S16" s="1"/>
      <c r="T16" s="232"/>
      <c r="U16" s="233"/>
      <c r="V16" s="157" t="s">
        <v>30</v>
      </c>
      <c r="W16" s="13"/>
      <c r="X16" s="115"/>
      <c r="Y16" s="115"/>
      <c r="Z16" s="115"/>
      <c r="AA16" s="115"/>
      <c r="AB16" s="236">
        <f>IF(OR($T$16="",$T$16=0,),IF(OR($P$16="",$P$16=0),0,IF($P$16&gt;3,$P$16+2,5)),IF(OR($P$16="",$P$16&lt;3),5,$P$16+2))</f>
        <v>0</v>
      </c>
      <c r="AC16" s="236"/>
      <c r="AD16" s="1" t="s">
        <v>16</v>
      </c>
      <c r="AE16" s="115"/>
      <c r="AF16" s="237">
        <f>IF($P$16&lt;3,0,$T$16)</f>
        <v>0</v>
      </c>
      <c r="AG16" s="237"/>
      <c r="AH16" s="1" t="s">
        <v>22</v>
      </c>
      <c r="AI16" s="115"/>
      <c r="AJ16" s="203" t="s">
        <v>29</v>
      </c>
      <c r="AK16" s="203"/>
      <c r="AL16" s="203"/>
      <c r="AM16" s="234"/>
      <c r="AN16" s="235"/>
      <c r="AO16" s="236" t="s">
        <v>16</v>
      </c>
      <c r="AP16" s="236"/>
      <c r="AQ16" s="232"/>
      <c r="AR16" s="233"/>
      <c r="AS16" s="1" t="s">
        <v>22</v>
      </c>
      <c r="AT16" s="1"/>
      <c r="AU16" s="1"/>
      <c r="AV16" s="20"/>
      <c r="AW16" s="24">
        <v>4</v>
      </c>
      <c r="AX16" s="24" t="s">
        <v>71</v>
      </c>
      <c r="BB16" s="144"/>
      <c r="BC16" s="144"/>
      <c r="BD16" s="144"/>
      <c r="BE16" s="144"/>
      <c r="BF16" s="144"/>
      <c r="BG16" s="144"/>
      <c r="BH16" s="144"/>
      <c r="BI16" s="144"/>
      <c r="BK16" s="86"/>
      <c r="BN16" s="103"/>
      <c r="BP16" s="11"/>
      <c r="BQ16" s="164"/>
    </row>
    <row r="17" spans="2:69" ht="15" customHeight="1" thickBot="1" x14ac:dyDescent="0.2">
      <c r="B17" s="9"/>
      <c r="C17" s="9"/>
      <c r="D17" s="9"/>
      <c r="M17" s="38"/>
      <c r="N17" s="38"/>
      <c r="O17" s="13"/>
      <c r="P17" s="115"/>
      <c r="Q17" s="115"/>
      <c r="R17" s="115"/>
      <c r="S17" s="1"/>
      <c r="T17" s="115"/>
      <c r="U17" s="115"/>
      <c r="V17" s="238" t="str">
        <f>IF(P16&gt;=3,"",IF(P16*60+T16&gt;0,"※走行時間は最低３時間のため＋２時間で５時間となります",""))</f>
        <v/>
      </c>
      <c r="W17" s="238"/>
      <c r="X17" s="238"/>
      <c r="Y17" s="238"/>
      <c r="Z17" s="238"/>
      <c r="AA17" s="238"/>
      <c r="AB17" s="238"/>
      <c r="AC17" s="238"/>
      <c r="AD17" s="238"/>
      <c r="AE17" s="238"/>
      <c r="AF17" s="238"/>
      <c r="AG17" s="238"/>
      <c r="AH17" s="238"/>
      <c r="AI17" s="238"/>
      <c r="AJ17" s="238"/>
      <c r="AK17" s="115"/>
      <c r="AL17" s="115"/>
      <c r="AM17" s="115"/>
      <c r="AN17" s="115"/>
      <c r="AO17" s="115"/>
      <c r="AP17" s="115"/>
      <c r="AQ17" s="115"/>
      <c r="AR17" s="115"/>
      <c r="AS17" s="115"/>
      <c r="AT17" s="1"/>
      <c r="AU17" s="1"/>
      <c r="AV17" s="20"/>
      <c r="AW17" s="24">
        <v>5</v>
      </c>
      <c r="AX17" s="24" t="s">
        <v>72</v>
      </c>
      <c r="BB17" s="144"/>
      <c r="BC17" s="144"/>
      <c r="BD17" s="144"/>
      <c r="BE17" s="144"/>
      <c r="BF17" s="144"/>
      <c r="BG17" s="144"/>
      <c r="BH17" s="144"/>
      <c r="BI17" s="144"/>
      <c r="BK17" s="86"/>
      <c r="BN17" s="103"/>
      <c r="BP17" s="11"/>
      <c r="BQ17" s="164"/>
    </row>
    <row r="18" spans="2:69" ht="18.75" customHeight="1" thickBot="1" x14ac:dyDescent="0.2">
      <c r="B18" s="9"/>
      <c r="C18" s="9"/>
      <c r="D18" s="9"/>
      <c r="J18" s="38"/>
      <c r="K18" s="38"/>
      <c r="L18" s="38"/>
      <c r="M18" s="21" t="s">
        <v>95</v>
      </c>
      <c r="N18" s="38" t="s">
        <v>115</v>
      </c>
      <c r="O18" s="13"/>
      <c r="P18" s="234"/>
      <c r="Q18" s="235"/>
      <c r="R18" s="157" t="s">
        <v>16</v>
      </c>
      <c r="S18" s="1"/>
      <c r="T18" s="232"/>
      <c r="U18" s="233"/>
      <c r="V18" s="157" t="s">
        <v>30</v>
      </c>
      <c r="W18" s="13"/>
      <c r="X18" s="115"/>
      <c r="Y18" s="115"/>
      <c r="Z18" s="115"/>
      <c r="AA18" s="115"/>
      <c r="AB18" s="236">
        <f>IF(OR($T$18="",$T$18=0,),IF(OR($P$18="",$P$18=0),0,IF($P$18&gt;3,$P$18+2,5)),IF(OR($P$18="",$P$18&lt;3),5,$P$18+2))</f>
        <v>0</v>
      </c>
      <c r="AC18" s="236"/>
      <c r="AD18" s="1" t="s">
        <v>16</v>
      </c>
      <c r="AE18" s="115"/>
      <c r="AF18" s="237">
        <f>IF($P$18&lt;3,0,$T$18)</f>
        <v>0</v>
      </c>
      <c r="AG18" s="237"/>
      <c r="AH18" s="1" t="s">
        <v>22</v>
      </c>
      <c r="AI18" s="115"/>
      <c r="AJ18" s="203" t="s">
        <v>115</v>
      </c>
      <c r="AK18" s="203"/>
      <c r="AL18" s="203"/>
      <c r="AM18" s="234"/>
      <c r="AN18" s="235"/>
      <c r="AO18" s="236" t="s">
        <v>16</v>
      </c>
      <c r="AP18" s="236"/>
      <c r="AQ18" s="232"/>
      <c r="AR18" s="233"/>
      <c r="AS18" s="1" t="s">
        <v>22</v>
      </c>
      <c r="AT18" s="1"/>
      <c r="AU18" s="1"/>
      <c r="AV18" s="20"/>
      <c r="AW18" s="24">
        <v>6</v>
      </c>
      <c r="AX18" s="24" t="s">
        <v>77</v>
      </c>
      <c r="BB18" s="144"/>
      <c r="BC18" s="144"/>
      <c r="BD18" s="144"/>
      <c r="BE18" s="144"/>
      <c r="BF18" s="144"/>
      <c r="BG18" s="144"/>
      <c r="BH18" s="144"/>
      <c r="BI18" s="144"/>
      <c r="BK18" s="86"/>
      <c r="BN18" s="103"/>
      <c r="BP18" s="11"/>
      <c r="BQ18" s="164"/>
    </row>
    <row r="19" spans="2:69" ht="15" customHeight="1" thickBot="1" x14ac:dyDescent="0.2">
      <c r="B19" s="9"/>
      <c r="C19" s="9"/>
      <c r="D19" s="9"/>
      <c r="M19" s="38"/>
      <c r="N19" s="38"/>
      <c r="O19" s="13"/>
      <c r="P19" s="115"/>
      <c r="Q19" s="115"/>
      <c r="R19" s="115"/>
      <c r="S19" s="1"/>
      <c r="T19" s="115"/>
      <c r="U19" s="115"/>
      <c r="V19" s="238" t="str">
        <f>IF(P18&gt;=3,"",IF(P18*60+T18&gt;0,"※走行時間は最低３時間のため＋２時間で５時間となります",""))</f>
        <v/>
      </c>
      <c r="W19" s="238"/>
      <c r="X19" s="238"/>
      <c r="Y19" s="238"/>
      <c r="Z19" s="238"/>
      <c r="AA19" s="238"/>
      <c r="AB19" s="238"/>
      <c r="AC19" s="238"/>
      <c r="AD19" s="238"/>
      <c r="AE19" s="238"/>
      <c r="AF19" s="238"/>
      <c r="AG19" s="238"/>
      <c r="AH19" s="238"/>
      <c r="AI19" s="238"/>
      <c r="AJ19" s="238"/>
      <c r="AK19" s="115"/>
      <c r="AL19" s="115"/>
      <c r="AM19" s="115"/>
      <c r="AN19" s="115"/>
      <c r="AO19" s="115"/>
      <c r="AP19" s="115"/>
      <c r="AQ19" s="115"/>
      <c r="AR19" s="115"/>
      <c r="AS19" s="115"/>
      <c r="AT19" s="1"/>
      <c r="AU19" s="1"/>
      <c r="AV19" s="20"/>
      <c r="AW19" s="24">
        <v>7</v>
      </c>
      <c r="AX19" s="24" t="s">
        <v>73</v>
      </c>
      <c r="BB19" s="144"/>
      <c r="BC19" s="144"/>
      <c r="BD19" s="144"/>
      <c r="BE19" s="144"/>
      <c r="BF19" s="144"/>
      <c r="BG19" s="144"/>
      <c r="BH19" s="144"/>
      <c r="BI19" s="144"/>
      <c r="BK19" s="86"/>
      <c r="BN19" s="103"/>
      <c r="BP19" s="11"/>
      <c r="BQ19" s="164"/>
    </row>
    <row r="20" spans="2:69" ht="18.75" customHeight="1" thickBot="1" x14ac:dyDescent="0.2">
      <c r="B20" s="9"/>
      <c r="C20" s="9"/>
      <c r="D20" s="9"/>
      <c r="J20" s="38"/>
      <c r="K20" s="38"/>
      <c r="L20" s="38"/>
      <c r="M20" s="21" t="s">
        <v>95</v>
      </c>
      <c r="N20" s="38" t="s">
        <v>116</v>
      </c>
      <c r="O20" s="13"/>
      <c r="P20" s="234"/>
      <c r="Q20" s="235"/>
      <c r="R20" s="157" t="s">
        <v>16</v>
      </c>
      <c r="S20" s="1"/>
      <c r="T20" s="232"/>
      <c r="U20" s="233"/>
      <c r="V20" s="157" t="s">
        <v>30</v>
      </c>
      <c r="W20" s="13"/>
      <c r="X20" s="115"/>
      <c r="Y20" s="115"/>
      <c r="Z20" s="115"/>
      <c r="AA20" s="115"/>
      <c r="AB20" s="236">
        <f>IF(OR($T$20="",$T$20=0,),IF(OR($P$20="",$P$20=0),0,IF($P$20&gt;3,$P$20+2,5)),IF(OR($P$20="",$P$20&lt;3),5,$P$20+2))</f>
        <v>0</v>
      </c>
      <c r="AC20" s="236"/>
      <c r="AD20" s="1" t="s">
        <v>16</v>
      </c>
      <c r="AE20" s="115"/>
      <c r="AF20" s="237">
        <f>IF($P$20&lt;3,0,$T$20)</f>
        <v>0</v>
      </c>
      <c r="AG20" s="237"/>
      <c r="AH20" s="1" t="s">
        <v>22</v>
      </c>
      <c r="AI20" s="115"/>
      <c r="AJ20" s="203" t="s">
        <v>116</v>
      </c>
      <c r="AK20" s="203"/>
      <c r="AL20" s="203"/>
      <c r="AM20" s="234"/>
      <c r="AN20" s="235"/>
      <c r="AO20" s="236" t="s">
        <v>16</v>
      </c>
      <c r="AP20" s="236"/>
      <c r="AQ20" s="232"/>
      <c r="AR20" s="233"/>
      <c r="AS20" s="1" t="s">
        <v>22</v>
      </c>
      <c r="AT20" s="1"/>
      <c r="AU20" s="1"/>
      <c r="AV20" s="20"/>
      <c r="AW20" s="24">
        <v>8</v>
      </c>
      <c r="AX20" s="24" t="s">
        <v>74</v>
      </c>
      <c r="BB20" s="144"/>
      <c r="BC20" s="144"/>
      <c r="BD20" s="144"/>
      <c r="BE20" s="144"/>
      <c r="BF20" s="144"/>
      <c r="BG20" s="144"/>
      <c r="BH20" s="144"/>
      <c r="BI20" s="144"/>
      <c r="BK20" s="86"/>
      <c r="BN20" s="103"/>
      <c r="BP20" s="11"/>
      <c r="BQ20" s="164"/>
    </row>
    <row r="21" spans="2:69" ht="15" customHeight="1" thickBot="1" x14ac:dyDescent="0.2">
      <c r="B21" s="9"/>
      <c r="C21" s="9"/>
      <c r="D21" s="9"/>
      <c r="M21" s="38"/>
      <c r="N21" s="38"/>
      <c r="O21" s="13"/>
      <c r="P21" s="115"/>
      <c r="Q21" s="115"/>
      <c r="R21" s="115"/>
      <c r="S21" s="1"/>
      <c r="T21" s="115"/>
      <c r="U21" s="115"/>
      <c r="V21" s="238" t="str">
        <f>IF(P20&gt;=3,"",IF(P20*60+T20&gt;0,"※走行時間は最低３時間のため＋２時間で５時間となります",""))</f>
        <v/>
      </c>
      <c r="W21" s="238"/>
      <c r="X21" s="238"/>
      <c r="Y21" s="238"/>
      <c r="Z21" s="238"/>
      <c r="AA21" s="238"/>
      <c r="AB21" s="238"/>
      <c r="AC21" s="238"/>
      <c r="AD21" s="238"/>
      <c r="AE21" s="238"/>
      <c r="AF21" s="238"/>
      <c r="AG21" s="238"/>
      <c r="AH21" s="238"/>
      <c r="AI21" s="238"/>
      <c r="AJ21" s="238"/>
      <c r="AK21" s="115"/>
      <c r="AL21" s="115"/>
      <c r="AM21" s="115"/>
      <c r="AN21" s="115"/>
      <c r="AO21" s="115"/>
      <c r="AP21" s="115"/>
      <c r="AQ21" s="115"/>
      <c r="AR21" s="115"/>
      <c r="AS21" s="115"/>
      <c r="AT21" s="1"/>
      <c r="AU21" s="1"/>
      <c r="AV21" s="20"/>
      <c r="AW21" s="24">
        <v>9</v>
      </c>
      <c r="AX21" s="24" t="s">
        <v>75</v>
      </c>
      <c r="BB21" s="144"/>
      <c r="BC21" s="144"/>
      <c r="BD21" s="144"/>
      <c r="BE21" s="144"/>
      <c r="BF21" s="144"/>
      <c r="BG21" s="144"/>
      <c r="BH21" s="144"/>
      <c r="BI21" s="144"/>
      <c r="BK21" s="86"/>
      <c r="BN21" s="103"/>
      <c r="BP21" s="11"/>
      <c r="BQ21" s="164"/>
    </row>
    <row r="22" spans="2:69" ht="18.75" customHeight="1" thickBot="1" x14ac:dyDescent="0.2">
      <c r="B22" s="9"/>
      <c r="C22" s="9"/>
      <c r="D22" s="9"/>
      <c r="J22" s="38"/>
      <c r="K22" s="38"/>
      <c r="L22" s="38"/>
      <c r="M22" s="21" t="s">
        <v>95</v>
      </c>
      <c r="N22" s="38" t="s">
        <v>117</v>
      </c>
      <c r="O22" s="13"/>
      <c r="P22" s="234"/>
      <c r="Q22" s="235"/>
      <c r="R22" s="157" t="s">
        <v>16</v>
      </c>
      <c r="S22" s="1"/>
      <c r="T22" s="232"/>
      <c r="U22" s="233"/>
      <c r="V22" s="157" t="s">
        <v>30</v>
      </c>
      <c r="W22" s="13"/>
      <c r="X22" s="115"/>
      <c r="Y22" s="115"/>
      <c r="Z22" s="115"/>
      <c r="AA22" s="115"/>
      <c r="AB22" s="236">
        <f>IF(OR($T$22="",$T$22=0,),IF(OR($P$22="",$P$22=0),0,IF($P$22&gt;3,$P$22+2,5)),IF(OR($P$22="",$P$22&lt;3),5,$P$22+2))</f>
        <v>0</v>
      </c>
      <c r="AC22" s="236"/>
      <c r="AD22" s="1" t="s">
        <v>16</v>
      </c>
      <c r="AE22" s="115"/>
      <c r="AF22" s="237">
        <f>IF($P$22&lt;3,0,$T$22)</f>
        <v>0</v>
      </c>
      <c r="AG22" s="237"/>
      <c r="AH22" s="1" t="s">
        <v>22</v>
      </c>
      <c r="AI22" s="115"/>
      <c r="AJ22" s="203" t="s">
        <v>117</v>
      </c>
      <c r="AK22" s="203"/>
      <c r="AL22" s="203"/>
      <c r="AM22" s="234"/>
      <c r="AN22" s="235"/>
      <c r="AO22" s="236" t="s">
        <v>16</v>
      </c>
      <c r="AP22" s="236"/>
      <c r="AQ22" s="232"/>
      <c r="AR22" s="233"/>
      <c r="AS22" s="1" t="s">
        <v>22</v>
      </c>
      <c r="AT22" s="1"/>
      <c r="AU22" s="1"/>
      <c r="AV22" s="20"/>
      <c r="AW22" s="24">
        <v>10</v>
      </c>
      <c r="AX22" s="24" t="s">
        <v>76</v>
      </c>
      <c r="BB22" s="144"/>
      <c r="BC22" s="144"/>
      <c r="BD22" s="144"/>
      <c r="BE22" s="144"/>
      <c r="BF22" s="144"/>
      <c r="BG22" s="144"/>
      <c r="BH22" s="144"/>
      <c r="BI22" s="144"/>
      <c r="BK22" s="86"/>
      <c r="BN22" s="103"/>
      <c r="BP22" s="11"/>
      <c r="BQ22" s="164"/>
    </row>
    <row r="23" spans="2:69" ht="15" customHeight="1" thickBot="1" x14ac:dyDescent="0.2">
      <c r="B23" s="9"/>
      <c r="C23" s="9"/>
      <c r="D23" s="9"/>
      <c r="M23" s="38"/>
      <c r="N23" s="38"/>
      <c r="O23" s="13"/>
      <c r="P23" s="115"/>
      <c r="Q23" s="115"/>
      <c r="R23" s="115"/>
      <c r="S23" s="1"/>
      <c r="T23" s="115"/>
      <c r="U23" s="115"/>
      <c r="V23" s="238" t="str">
        <f>IF(P22&gt;=3,"",IF(P22*60+T22&gt;0,"※走行時間は最低３時間のため＋２時間で５時間となります",""))</f>
        <v/>
      </c>
      <c r="W23" s="238"/>
      <c r="X23" s="238"/>
      <c r="Y23" s="238"/>
      <c r="Z23" s="238"/>
      <c r="AA23" s="238"/>
      <c r="AB23" s="238"/>
      <c r="AC23" s="238"/>
      <c r="AD23" s="238"/>
      <c r="AE23" s="238"/>
      <c r="AF23" s="238"/>
      <c r="AG23" s="238"/>
      <c r="AH23" s="238"/>
      <c r="AI23" s="238"/>
      <c r="AJ23" s="238"/>
      <c r="AK23" s="115"/>
      <c r="AL23" s="115"/>
      <c r="AM23" s="115"/>
      <c r="AN23" s="115"/>
      <c r="AO23" s="115"/>
      <c r="AP23" s="115"/>
      <c r="AQ23" s="115"/>
      <c r="AR23" s="115"/>
      <c r="AS23" s="115"/>
      <c r="AT23" s="1"/>
      <c r="AU23" s="1"/>
      <c r="AV23" s="20"/>
      <c r="BB23" s="144"/>
      <c r="BC23" s="144"/>
      <c r="BD23" s="144"/>
      <c r="BE23" s="144"/>
      <c r="BF23" s="144"/>
      <c r="BG23" s="144"/>
      <c r="BH23" s="144"/>
      <c r="BI23" s="144"/>
      <c r="BK23" s="86"/>
      <c r="BN23" s="103"/>
      <c r="BP23" s="11"/>
      <c r="BQ23" s="164"/>
    </row>
    <row r="24" spans="2:69" ht="18.75" customHeight="1" thickBot="1" x14ac:dyDescent="0.2">
      <c r="B24" s="9"/>
      <c r="C24" s="9"/>
      <c r="D24" s="9"/>
      <c r="J24" s="38"/>
      <c r="K24" s="38"/>
      <c r="L24" s="38"/>
      <c r="M24" s="21" t="s">
        <v>95</v>
      </c>
      <c r="N24" s="38" t="s">
        <v>118</v>
      </c>
      <c r="O24" s="13"/>
      <c r="P24" s="234"/>
      <c r="Q24" s="235"/>
      <c r="R24" s="157" t="s">
        <v>16</v>
      </c>
      <c r="S24" s="1"/>
      <c r="T24" s="232"/>
      <c r="U24" s="233"/>
      <c r="V24" s="157" t="s">
        <v>30</v>
      </c>
      <c r="W24" s="13"/>
      <c r="X24" s="115"/>
      <c r="Y24" s="115"/>
      <c r="Z24" s="115"/>
      <c r="AA24" s="115"/>
      <c r="AB24" s="236">
        <f>IF(OR($T$24="",$T$24=0,),IF(OR($P$24="",$P$24=0),0,IF($P$24&gt;3,$P$24+2,5)),IF(OR($P$24="",$P$24&lt;3),5,$P$24+2))</f>
        <v>0</v>
      </c>
      <c r="AC24" s="236"/>
      <c r="AD24" s="1" t="s">
        <v>16</v>
      </c>
      <c r="AE24" s="115"/>
      <c r="AF24" s="237">
        <f>IF($P$24&lt;3,0,$T$24)</f>
        <v>0</v>
      </c>
      <c r="AG24" s="237"/>
      <c r="AH24" s="1" t="s">
        <v>22</v>
      </c>
      <c r="AI24" s="115"/>
      <c r="AJ24" s="203" t="s">
        <v>118</v>
      </c>
      <c r="AK24" s="203"/>
      <c r="AL24" s="203"/>
      <c r="AM24" s="234"/>
      <c r="AN24" s="235"/>
      <c r="AO24" s="236" t="s">
        <v>16</v>
      </c>
      <c r="AP24" s="236"/>
      <c r="AQ24" s="232"/>
      <c r="AR24" s="233"/>
      <c r="AS24" s="1" t="s">
        <v>22</v>
      </c>
      <c r="AT24" s="1"/>
      <c r="AU24" s="1"/>
      <c r="AV24" s="20"/>
      <c r="BB24" s="144"/>
      <c r="BC24" s="144"/>
      <c r="BD24" s="144"/>
      <c r="BE24" s="144"/>
      <c r="BF24" s="144"/>
      <c r="BG24" s="144"/>
      <c r="BH24" s="144"/>
      <c r="BI24" s="144"/>
      <c r="BK24" s="86"/>
      <c r="BN24" s="103"/>
      <c r="BP24" s="11"/>
      <c r="BQ24" s="164"/>
    </row>
    <row r="25" spans="2:69" ht="15" customHeight="1" thickBot="1" x14ac:dyDescent="0.2">
      <c r="B25" s="9"/>
      <c r="C25" s="9"/>
      <c r="D25" s="9"/>
      <c r="M25" s="38"/>
      <c r="N25" s="38"/>
      <c r="O25" s="13"/>
      <c r="P25" s="115"/>
      <c r="Q25" s="115"/>
      <c r="R25" s="115"/>
      <c r="S25" s="1"/>
      <c r="T25" s="115"/>
      <c r="U25" s="115"/>
      <c r="V25" s="238" t="str">
        <f>IF(P24&gt;=3,"",IF(P24*60+T24&gt;0,"※走行時間は最低３時間のため＋２時間で５時間となります",""))</f>
        <v/>
      </c>
      <c r="W25" s="238"/>
      <c r="X25" s="238"/>
      <c r="Y25" s="238"/>
      <c r="Z25" s="238"/>
      <c r="AA25" s="238"/>
      <c r="AB25" s="238"/>
      <c r="AC25" s="238"/>
      <c r="AD25" s="238"/>
      <c r="AE25" s="238"/>
      <c r="AF25" s="238"/>
      <c r="AG25" s="238"/>
      <c r="AH25" s="238"/>
      <c r="AI25" s="238"/>
      <c r="AJ25" s="238"/>
      <c r="AK25" s="115"/>
      <c r="AL25" s="115"/>
      <c r="AM25" s="115"/>
      <c r="AN25" s="115"/>
      <c r="AO25" s="115"/>
      <c r="AP25" s="115"/>
      <c r="AQ25" s="115"/>
      <c r="AR25" s="115"/>
      <c r="AS25" s="115"/>
      <c r="AT25" s="1"/>
      <c r="AU25" s="1"/>
      <c r="AV25" s="20"/>
      <c r="BB25" s="144"/>
      <c r="BC25" s="144"/>
      <c r="BD25" s="144"/>
      <c r="BE25" s="144"/>
      <c r="BF25" s="144"/>
      <c r="BG25" s="144"/>
      <c r="BH25" s="144"/>
      <c r="BI25" s="144"/>
      <c r="BK25" s="86"/>
      <c r="BN25" s="103"/>
      <c r="BP25" s="11"/>
      <c r="BQ25" s="164"/>
    </row>
    <row r="26" spans="2:69" ht="18.75" customHeight="1" thickBot="1" x14ac:dyDescent="0.2">
      <c r="B26" s="9"/>
      <c r="C26" s="9"/>
      <c r="D26" s="9"/>
      <c r="J26" s="38"/>
      <c r="K26" s="38"/>
      <c r="L26" s="38"/>
      <c r="M26" s="21" t="s">
        <v>95</v>
      </c>
      <c r="N26" s="38" t="s">
        <v>119</v>
      </c>
      <c r="O26" s="13"/>
      <c r="P26" s="234"/>
      <c r="Q26" s="235"/>
      <c r="R26" s="157" t="s">
        <v>16</v>
      </c>
      <c r="S26" s="1"/>
      <c r="T26" s="232"/>
      <c r="U26" s="233"/>
      <c r="V26" s="157" t="s">
        <v>30</v>
      </c>
      <c r="W26" s="13"/>
      <c r="X26" s="115"/>
      <c r="Y26" s="115"/>
      <c r="Z26" s="115"/>
      <c r="AA26" s="115"/>
      <c r="AB26" s="236">
        <f>IF(OR($T$26="",$T$26=0,),IF(OR($P$26="",$P$26=0),0,IF($P$26&gt;3,$P$26+2,5)),IF(OR($P$26="",$P$26&lt;3),5,$P$26+2))</f>
        <v>0</v>
      </c>
      <c r="AC26" s="236"/>
      <c r="AD26" s="1" t="s">
        <v>16</v>
      </c>
      <c r="AE26" s="115"/>
      <c r="AF26" s="237">
        <f>IF($P$26&lt;3,0,$T$26)</f>
        <v>0</v>
      </c>
      <c r="AG26" s="237"/>
      <c r="AH26" s="1" t="s">
        <v>22</v>
      </c>
      <c r="AI26" s="115"/>
      <c r="AJ26" s="203" t="s">
        <v>119</v>
      </c>
      <c r="AK26" s="203"/>
      <c r="AL26" s="203"/>
      <c r="AM26" s="234"/>
      <c r="AN26" s="235"/>
      <c r="AO26" s="236" t="s">
        <v>16</v>
      </c>
      <c r="AP26" s="236"/>
      <c r="AQ26" s="232"/>
      <c r="AR26" s="233"/>
      <c r="AS26" s="1" t="s">
        <v>22</v>
      </c>
      <c r="AT26" s="1"/>
      <c r="AU26" s="1"/>
      <c r="AV26" s="20"/>
      <c r="BB26" s="144"/>
      <c r="BC26" s="144"/>
      <c r="BD26" s="144"/>
      <c r="BE26" s="144"/>
      <c r="BF26" s="144"/>
      <c r="BG26" s="144"/>
      <c r="BH26" s="144"/>
      <c r="BI26" s="144"/>
      <c r="BK26" s="86"/>
      <c r="BN26" s="103"/>
      <c r="BP26" s="11"/>
      <c r="BQ26" s="164"/>
    </row>
    <row r="27" spans="2:69" ht="15" customHeight="1" thickBot="1" x14ac:dyDescent="0.2">
      <c r="B27" s="9"/>
      <c r="C27" s="9"/>
      <c r="D27" s="9"/>
      <c r="M27" s="38"/>
      <c r="N27" s="38"/>
      <c r="O27" s="13"/>
      <c r="P27" s="115"/>
      <c r="Q27" s="115"/>
      <c r="R27" s="115"/>
      <c r="S27" s="1"/>
      <c r="T27" s="115"/>
      <c r="U27" s="115"/>
      <c r="V27" s="238" t="str">
        <f>IF(P26&gt;=3,"",IF(P26*60+T26&gt;0,"※走行時間は最低３時間のため＋２時間で５時間となります",""))</f>
        <v/>
      </c>
      <c r="W27" s="238"/>
      <c r="X27" s="238"/>
      <c r="Y27" s="238"/>
      <c r="Z27" s="238"/>
      <c r="AA27" s="238"/>
      <c r="AB27" s="238"/>
      <c r="AC27" s="238"/>
      <c r="AD27" s="238"/>
      <c r="AE27" s="238"/>
      <c r="AF27" s="238"/>
      <c r="AG27" s="238"/>
      <c r="AH27" s="238"/>
      <c r="AI27" s="238"/>
      <c r="AJ27" s="238"/>
      <c r="AK27" s="115"/>
      <c r="AL27" s="115"/>
      <c r="AM27" s="115"/>
      <c r="AN27" s="115"/>
      <c r="AO27" s="115"/>
      <c r="AP27" s="115"/>
      <c r="AQ27" s="115"/>
      <c r="AR27" s="115"/>
      <c r="AS27" s="115"/>
      <c r="AT27" s="1"/>
      <c r="AU27" s="1"/>
      <c r="AV27" s="20"/>
      <c r="BB27" s="144"/>
      <c r="BC27" s="144"/>
      <c r="BD27" s="144"/>
      <c r="BE27" s="144"/>
      <c r="BF27" s="144"/>
      <c r="BG27" s="144"/>
      <c r="BH27" s="144"/>
      <c r="BI27" s="144"/>
      <c r="BK27" s="86"/>
      <c r="BN27" s="103"/>
      <c r="BP27" s="11"/>
      <c r="BQ27" s="164"/>
    </row>
    <row r="28" spans="2:69" ht="18.75" customHeight="1" thickBot="1" x14ac:dyDescent="0.2">
      <c r="B28" s="9"/>
      <c r="C28" s="9"/>
      <c r="D28" s="9"/>
      <c r="J28" s="38"/>
      <c r="K28" s="38"/>
      <c r="L28" s="38"/>
      <c r="M28" s="21" t="s">
        <v>95</v>
      </c>
      <c r="N28" s="38" t="s">
        <v>120</v>
      </c>
      <c r="O28" s="13"/>
      <c r="P28" s="234"/>
      <c r="Q28" s="235"/>
      <c r="R28" s="157" t="s">
        <v>16</v>
      </c>
      <c r="S28" s="1"/>
      <c r="T28" s="232"/>
      <c r="U28" s="233"/>
      <c r="V28" s="157" t="s">
        <v>30</v>
      </c>
      <c r="W28" s="13"/>
      <c r="X28" s="115"/>
      <c r="Y28" s="115"/>
      <c r="Z28" s="115"/>
      <c r="AA28" s="115"/>
      <c r="AB28" s="236">
        <f>IF(OR($T$28="",$T$28=0,),IF(OR($P$28="",$P$28=0),0,IF($P$28&gt;3,$P$28+2,5)),IF(OR($P$28="",$P$28&lt;3),5,$P$28+2))</f>
        <v>0</v>
      </c>
      <c r="AC28" s="236"/>
      <c r="AD28" s="1" t="s">
        <v>16</v>
      </c>
      <c r="AE28" s="115"/>
      <c r="AF28" s="237">
        <f>IF($P$28&lt;3,0,$T$28)</f>
        <v>0</v>
      </c>
      <c r="AG28" s="237"/>
      <c r="AH28" s="1" t="s">
        <v>22</v>
      </c>
      <c r="AI28" s="115"/>
      <c r="AJ28" s="203" t="s">
        <v>120</v>
      </c>
      <c r="AK28" s="203"/>
      <c r="AL28" s="203"/>
      <c r="AM28" s="234"/>
      <c r="AN28" s="235"/>
      <c r="AO28" s="236" t="s">
        <v>16</v>
      </c>
      <c r="AP28" s="236"/>
      <c r="AQ28" s="232"/>
      <c r="AR28" s="233"/>
      <c r="AS28" s="1" t="s">
        <v>22</v>
      </c>
      <c r="AT28" s="1"/>
      <c r="AU28" s="1"/>
      <c r="AV28" s="20"/>
      <c r="BB28" s="144"/>
      <c r="BC28" s="144"/>
      <c r="BD28" s="144"/>
      <c r="BE28" s="144"/>
      <c r="BF28" s="144"/>
      <c r="BG28" s="144"/>
      <c r="BH28" s="144"/>
      <c r="BI28" s="144"/>
      <c r="BK28" s="86"/>
      <c r="BN28" s="103"/>
      <c r="BP28" s="11"/>
      <c r="BQ28" s="164"/>
    </row>
    <row r="29" spans="2:69" ht="15" customHeight="1" thickBot="1" x14ac:dyDescent="0.2">
      <c r="B29" s="9"/>
      <c r="C29" s="9"/>
      <c r="D29" s="9"/>
      <c r="M29" s="38"/>
      <c r="N29" s="38"/>
      <c r="O29" s="13"/>
      <c r="P29" s="115"/>
      <c r="Q29" s="115"/>
      <c r="R29" s="115"/>
      <c r="S29" s="1"/>
      <c r="T29" s="115"/>
      <c r="U29" s="115"/>
      <c r="V29" s="238" t="str">
        <f>IF(P28&gt;=3,"",IF(P28*60+T28&gt;0,"※走行時間は最低３時間のため＋２時間で５時間となります",""))</f>
        <v/>
      </c>
      <c r="W29" s="238"/>
      <c r="X29" s="238"/>
      <c r="Y29" s="238"/>
      <c r="Z29" s="238"/>
      <c r="AA29" s="238"/>
      <c r="AB29" s="238"/>
      <c r="AC29" s="238"/>
      <c r="AD29" s="238"/>
      <c r="AE29" s="238"/>
      <c r="AF29" s="238"/>
      <c r="AG29" s="238"/>
      <c r="AH29" s="238"/>
      <c r="AI29" s="238"/>
      <c r="AJ29" s="238"/>
      <c r="AK29" s="115"/>
      <c r="AL29" s="115"/>
      <c r="AM29" s="115"/>
      <c r="AN29" s="115"/>
      <c r="AO29" s="115"/>
      <c r="AP29" s="115"/>
      <c r="AQ29" s="115"/>
      <c r="AR29" s="115"/>
      <c r="AS29" s="115"/>
      <c r="AT29" s="1"/>
      <c r="AU29" s="1"/>
      <c r="AV29" s="20"/>
      <c r="BB29" s="144"/>
      <c r="BC29" s="144"/>
      <c r="BD29" s="144"/>
      <c r="BE29" s="144"/>
      <c r="BF29" s="144"/>
      <c r="BG29" s="144"/>
      <c r="BH29" s="144"/>
      <c r="BI29" s="144"/>
      <c r="BK29" s="86"/>
      <c r="BN29" s="103"/>
      <c r="BP29" s="11"/>
      <c r="BQ29" s="164"/>
    </row>
    <row r="30" spans="2:69" ht="18.75" customHeight="1" thickBot="1" x14ac:dyDescent="0.2">
      <c r="B30" s="9"/>
      <c r="C30" s="9"/>
      <c r="D30" s="9"/>
      <c r="J30" s="38"/>
      <c r="K30" s="38"/>
      <c r="L30" s="38"/>
      <c r="M30" s="21" t="s">
        <v>95</v>
      </c>
      <c r="N30" s="38" t="s">
        <v>121</v>
      </c>
      <c r="O30" s="13"/>
      <c r="P30" s="234"/>
      <c r="Q30" s="235"/>
      <c r="R30" s="157" t="s">
        <v>16</v>
      </c>
      <c r="S30" s="1"/>
      <c r="T30" s="232"/>
      <c r="U30" s="233"/>
      <c r="V30" s="157" t="s">
        <v>30</v>
      </c>
      <c r="W30" s="13"/>
      <c r="X30" s="115"/>
      <c r="Y30" s="115"/>
      <c r="Z30" s="115"/>
      <c r="AA30" s="115"/>
      <c r="AB30" s="236">
        <f>IF(OR($T$30="",$T$30=0,),IF(OR($P$30="",$P$30=0),0,IF($P$30&gt;3,$P$30+2,5)),IF(OR($P$30="",$P$30&lt;3),5,$P$30+2))</f>
        <v>0</v>
      </c>
      <c r="AC30" s="236"/>
      <c r="AD30" s="1" t="s">
        <v>16</v>
      </c>
      <c r="AE30" s="115"/>
      <c r="AF30" s="237">
        <f>IF($P$30&lt;3,0,$T$30)</f>
        <v>0</v>
      </c>
      <c r="AG30" s="237"/>
      <c r="AH30" s="1" t="s">
        <v>22</v>
      </c>
      <c r="AI30" s="115"/>
      <c r="AJ30" s="203" t="s">
        <v>122</v>
      </c>
      <c r="AK30" s="203"/>
      <c r="AL30" s="203"/>
      <c r="AM30" s="234"/>
      <c r="AN30" s="235"/>
      <c r="AO30" s="236" t="s">
        <v>16</v>
      </c>
      <c r="AP30" s="236"/>
      <c r="AQ30" s="232"/>
      <c r="AR30" s="233"/>
      <c r="AS30" s="1" t="s">
        <v>22</v>
      </c>
      <c r="AT30" s="1"/>
      <c r="AU30" s="1"/>
      <c r="AV30" s="20"/>
      <c r="BB30" s="144"/>
      <c r="BC30" s="144"/>
      <c r="BD30" s="144"/>
      <c r="BE30" s="144"/>
      <c r="BF30" s="144"/>
      <c r="BG30" s="144"/>
      <c r="BH30" s="144"/>
      <c r="BI30" s="144"/>
      <c r="BK30" s="86"/>
      <c r="BN30" s="103"/>
      <c r="BP30" s="11"/>
      <c r="BQ30" s="164"/>
    </row>
    <row r="31" spans="2:69" ht="15" customHeight="1" x14ac:dyDescent="0.15">
      <c r="B31" s="9"/>
      <c r="C31" s="9"/>
      <c r="D31" s="9"/>
      <c r="M31" s="38"/>
      <c r="N31" s="38"/>
      <c r="O31" s="13"/>
      <c r="P31" s="115"/>
      <c r="Q31" s="115"/>
      <c r="R31" s="115"/>
      <c r="S31" s="1"/>
      <c r="T31" s="115"/>
      <c r="U31" s="115"/>
      <c r="V31" s="238" t="str">
        <f>IF(P30&gt;=3,"",IF(P30*60+T30&gt;0,"※走行時間は最低３時間のため＋２時間で５時間となります",""))</f>
        <v/>
      </c>
      <c r="W31" s="238"/>
      <c r="X31" s="238"/>
      <c r="Y31" s="238"/>
      <c r="Z31" s="238"/>
      <c r="AA31" s="238"/>
      <c r="AB31" s="238"/>
      <c r="AC31" s="238"/>
      <c r="AD31" s="238"/>
      <c r="AE31" s="238"/>
      <c r="AF31" s="238"/>
      <c r="AG31" s="238"/>
      <c r="AH31" s="238"/>
      <c r="AI31" s="238"/>
      <c r="AJ31" s="238"/>
      <c r="AK31" s="115"/>
      <c r="AL31" s="115"/>
      <c r="AM31" s="115"/>
      <c r="AN31" s="115"/>
      <c r="AO31" s="115"/>
      <c r="AP31" s="115"/>
      <c r="AQ31" s="115"/>
      <c r="AR31" s="115"/>
      <c r="AS31" s="115"/>
      <c r="AT31" s="1"/>
      <c r="AU31" s="1"/>
      <c r="AV31" s="20"/>
      <c r="BB31" s="144"/>
      <c r="BC31" s="144"/>
      <c r="BD31" s="144"/>
      <c r="BE31" s="144"/>
      <c r="BF31" s="144"/>
      <c r="BG31" s="144"/>
      <c r="BH31" s="144"/>
      <c r="BI31" s="144"/>
      <c r="BK31" s="86"/>
      <c r="BN31" s="103"/>
      <c r="BP31" s="11"/>
      <c r="BQ31" s="164"/>
    </row>
    <row r="32" spans="2:69" ht="19.5" customHeight="1" x14ac:dyDescent="0.15">
      <c r="B32" s="9"/>
      <c r="C32" s="9"/>
      <c r="D32" s="9"/>
      <c r="W32" s="1"/>
      <c r="Z32" s="106" t="s">
        <v>23</v>
      </c>
      <c r="AC32" s="236">
        <f>ROUND(((+AB12+AB14+AB16+AB18+AB20+AB22+AB24+AB26+AB28+AB30)*60+AF12+AF14+AF16+AF18+AF20+AF22+AF24+AF26+AF28+AF30)/60,0)</f>
        <v>0</v>
      </c>
      <c r="AD32" s="236"/>
      <c r="AE32" s="236"/>
      <c r="AF32" s="1" t="s">
        <v>16</v>
      </c>
      <c r="AK32" s="5" t="s">
        <v>39</v>
      </c>
      <c r="AQ32" s="236">
        <f>ROUND(((+AM12+AM14+AM16+AM18+AM20+AM22+AM24+AM26+AM28+AM30)*60+AQ12+AQ14+AQ16+AQ18+AQ20+AQ22+AQ24+AQ26+AQ28+AQ30)/60,0)</f>
        <v>0</v>
      </c>
      <c r="AR32" s="236"/>
      <c r="AS32" s="1" t="s">
        <v>16</v>
      </c>
      <c r="AV32" s="14"/>
      <c r="AW32" s="144"/>
      <c r="BB32" s="144"/>
      <c r="BC32" s="144"/>
      <c r="BK32" s="86"/>
      <c r="BN32" s="103"/>
      <c r="BP32" s="11"/>
      <c r="BQ32" s="164"/>
    </row>
    <row r="33" spans="2:69" ht="15" customHeight="1" x14ac:dyDescent="0.15">
      <c r="B33" s="9"/>
      <c r="C33" s="9"/>
      <c r="D33" s="9"/>
      <c r="Y33" s="48"/>
      <c r="Z33" s="48"/>
      <c r="AA33" s="48"/>
      <c r="AC33" s="48"/>
      <c r="AD33" s="48" t="str">
        <f>IF(OR(MOD(AF12+AF14+AF16,60)&gt;0,MOD(AQ12+AQ14+AQ16,60)&gt;0),"※３０分未満は切り捨て、３０分以上は１時間に切り上げとなります","")</f>
        <v/>
      </c>
      <c r="AE33" s="48"/>
      <c r="AF33" s="48"/>
      <c r="AG33" s="48"/>
      <c r="AH33" s="48"/>
      <c r="AI33" s="48"/>
      <c r="AJ33" s="48"/>
      <c r="AK33" s="48"/>
      <c r="AL33" s="48"/>
      <c r="AM33" s="48"/>
      <c r="AN33" s="48"/>
      <c r="AO33" s="48"/>
      <c r="AP33" s="48"/>
      <c r="AQ33" s="48"/>
      <c r="AR33" s="48"/>
      <c r="AY33" s="145"/>
      <c r="BK33" s="86"/>
      <c r="BN33" s="103"/>
      <c r="BP33" s="11"/>
      <c r="BQ33" s="164"/>
    </row>
    <row r="34" spans="2:69" ht="6" customHeight="1" x14ac:dyDescent="0.15">
      <c r="B34" s="9"/>
      <c r="C34" s="9"/>
      <c r="D34" s="9"/>
      <c r="N34" s="43"/>
      <c r="O34" s="43"/>
      <c r="P34" s="43"/>
      <c r="Q34" s="43"/>
      <c r="R34" s="43"/>
      <c r="S34" s="43"/>
      <c r="T34" s="43"/>
      <c r="U34" s="43"/>
      <c r="V34" s="43"/>
      <c r="W34" s="43"/>
      <c r="X34" s="43"/>
      <c r="Y34" s="43"/>
      <c r="Z34" s="43"/>
      <c r="AA34" s="43"/>
      <c r="AB34" s="43"/>
      <c r="AC34" s="43"/>
      <c r="AK34" s="38"/>
      <c r="AN34" s="15"/>
      <c r="AZ34" s="165"/>
      <c r="BC34" s="141"/>
      <c r="BE34" s="143"/>
      <c r="BF34" s="166"/>
    </row>
    <row r="35" spans="2:69" ht="14.25" customHeight="1" x14ac:dyDescent="0.15">
      <c r="B35" s="9"/>
      <c r="C35" s="9"/>
      <c r="D35" s="9"/>
      <c r="M35" s="8"/>
      <c r="N35" s="241"/>
      <c r="O35" s="241"/>
      <c r="P35" s="241"/>
      <c r="Q35" s="44"/>
      <c r="R35" s="151"/>
      <c r="S35" s="151" t="s">
        <v>110</v>
      </c>
      <c r="T35" s="38"/>
      <c r="U35" s="43"/>
      <c r="V35" s="43"/>
      <c r="W35" s="43"/>
      <c r="X35" s="43"/>
      <c r="Y35" s="43"/>
      <c r="Z35" s="43"/>
      <c r="AA35" s="43"/>
      <c r="AB35" s="43"/>
      <c r="AC35" s="43"/>
      <c r="AN35" s="15"/>
      <c r="AZ35" s="165"/>
      <c r="BC35" s="141"/>
      <c r="BE35" s="143"/>
      <c r="BF35" s="166"/>
    </row>
    <row r="36" spans="2:69" ht="19.5" customHeight="1" x14ac:dyDescent="0.15">
      <c r="B36" s="9"/>
      <c r="C36" s="9"/>
      <c r="D36" s="9"/>
      <c r="G36" s="5" t="s">
        <v>21</v>
      </c>
      <c r="N36" s="240" t="s">
        <v>12</v>
      </c>
      <c r="O36" s="240"/>
      <c r="P36" s="240"/>
      <c r="Q36" s="36"/>
      <c r="R36" s="226">
        <f ca="1">VLOOKUP($AW$9,INDIRECT(VLOOKUP($AW$5,$AW$39:$AX$48,2,FALSE)),4,FALSE)</f>
        <v>190</v>
      </c>
      <c r="S36" s="226"/>
      <c r="T36" s="226"/>
      <c r="U36" s="16" t="s">
        <v>91</v>
      </c>
      <c r="AJ36" s="8"/>
      <c r="AK36" s="8"/>
      <c r="AL36" s="8"/>
      <c r="BB36" s="141"/>
    </row>
    <row r="37" spans="2:69" ht="6" customHeight="1" thickBot="1" x14ac:dyDescent="0.2">
      <c r="B37" s="9"/>
      <c r="C37" s="9"/>
      <c r="D37" s="9"/>
      <c r="AV37" s="14"/>
      <c r="AW37" s="143"/>
      <c r="BM37" s="103"/>
    </row>
    <row r="38" spans="2:69" ht="19.5" customHeight="1" thickBot="1" x14ac:dyDescent="0.2">
      <c r="B38" s="9"/>
      <c r="C38" s="9"/>
      <c r="D38" s="9"/>
      <c r="J38" s="5" t="s">
        <v>18</v>
      </c>
      <c r="N38" s="234">
        <v>100</v>
      </c>
      <c r="O38" s="239"/>
      <c r="P38" s="235"/>
      <c r="Q38" s="5" t="s">
        <v>19</v>
      </c>
      <c r="R38" s="203" t="str">
        <f>IF(T38="","","→")</f>
        <v/>
      </c>
      <c r="S38" s="203"/>
      <c r="T38" s="236" t="str">
        <f>IF(MOD(N38,10)&gt;0,ROUNDUP(N38,-1),"")</f>
        <v/>
      </c>
      <c r="U38" s="236"/>
      <c r="V38" s="236"/>
      <c r="W38" s="38" t="str">
        <f>IF(T38="","","㎞")</f>
        <v/>
      </c>
      <c r="X38" s="46"/>
      <c r="Y38" s="47"/>
    </row>
    <row r="39" spans="2:69" ht="14.25" customHeight="1" x14ac:dyDescent="0.15">
      <c r="B39" s="9"/>
      <c r="C39" s="9"/>
      <c r="D39" s="9"/>
      <c r="Q39" s="48" t="str">
        <f>IF(T38="","","１０㎞未満は１０㎞に切り上げとなります")</f>
        <v/>
      </c>
      <c r="AV39" s="14"/>
      <c r="AW39" s="24">
        <v>1</v>
      </c>
      <c r="AX39" s="24" t="s">
        <v>79</v>
      </c>
    </row>
    <row r="40" spans="2:69" ht="9.75" customHeight="1" x14ac:dyDescent="0.15">
      <c r="B40" s="9"/>
      <c r="C40" s="9"/>
      <c r="D40" s="9"/>
      <c r="AW40" s="24">
        <v>2</v>
      </c>
      <c r="AX40" s="24" t="s">
        <v>80</v>
      </c>
    </row>
    <row r="41" spans="2:69" ht="15" hidden="1" customHeight="1" x14ac:dyDescent="0.15">
      <c r="B41" s="9"/>
      <c r="C41" s="9"/>
      <c r="D41" s="9"/>
      <c r="J41" s="49"/>
      <c r="K41" s="49"/>
      <c r="M41" s="116"/>
      <c r="N41" s="116"/>
      <c r="O41" s="116"/>
      <c r="P41" s="116"/>
      <c r="Q41" s="116"/>
      <c r="S41" s="116"/>
      <c r="T41" s="116"/>
      <c r="U41" s="116"/>
      <c r="V41" s="116"/>
      <c r="W41" s="116"/>
      <c r="X41" s="116"/>
      <c r="Y41" s="9"/>
      <c r="Z41" s="8"/>
      <c r="AA41" s="116"/>
      <c r="AB41" s="116"/>
      <c r="AC41" s="116"/>
      <c r="AD41" s="116"/>
      <c r="AE41" s="116"/>
      <c r="AF41" s="116"/>
      <c r="AG41" s="116"/>
      <c r="AH41" s="116"/>
      <c r="AI41" s="116"/>
      <c r="AJ41" s="116"/>
      <c r="AK41" s="116"/>
      <c r="AL41" s="116"/>
      <c r="AM41" s="116"/>
      <c r="AN41" s="116"/>
      <c r="AO41" s="116"/>
      <c r="AP41" s="116"/>
      <c r="AQ41" s="116"/>
      <c r="AR41" s="116"/>
      <c r="AS41" s="116"/>
      <c r="AT41" s="106"/>
      <c r="AU41" s="106"/>
      <c r="AV41" s="21"/>
      <c r="AW41" s="24">
        <v>3</v>
      </c>
      <c r="AX41" s="24" t="s">
        <v>81</v>
      </c>
    </row>
    <row r="42" spans="2:69" ht="15" customHeight="1" x14ac:dyDescent="0.15">
      <c r="B42" s="9"/>
      <c r="C42" s="9"/>
      <c r="D42" s="9"/>
      <c r="AW42" s="24">
        <v>4</v>
      </c>
      <c r="AX42" s="24" t="s">
        <v>82</v>
      </c>
    </row>
    <row r="43" spans="2:69" ht="18" customHeight="1" x14ac:dyDescent="0.15">
      <c r="B43" s="9"/>
      <c r="C43" s="9"/>
      <c r="D43" s="9"/>
      <c r="E43" s="5" t="s">
        <v>33</v>
      </c>
      <c r="I43" s="5" t="s">
        <v>37</v>
      </c>
      <c r="AW43" s="24">
        <v>5</v>
      </c>
      <c r="AX43" s="24" t="s">
        <v>83</v>
      </c>
    </row>
    <row r="44" spans="2:69" ht="15" customHeight="1" x14ac:dyDescent="0.15">
      <c r="B44" s="9"/>
      <c r="C44" s="9"/>
      <c r="D44" s="9"/>
      <c r="K44" s="203" t="s">
        <v>13</v>
      </c>
      <c r="L44" s="203"/>
      <c r="M44" s="203"/>
      <c r="O44" s="5" t="s">
        <v>34</v>
      </c>
      <c r="S44" s="38"/>
      <c r="U44" s="203" t="s">
        <v>12</v>
      </c>
      <c r="V44" s="203"/>
      <c r="W44" s="203"/>
      <c r="Y44" s="203" t="s">
        <v>18</v>
      </c>
      <c r="Z44" s="203"/>
      <c r="AA44" s="203"/>
      <c r="AB44" s="203"/>
      <c r="AW44" s="24">
        <v>6</v>
      </c>
      <c r="AX44" s="24" t="s">
        <v>84</v>
      </c>
    </row>
    <row r="45" spans="2:69" hidden="1" x14ac:dyDescent="0.15">
      <c r="B45" s="9"/>
      <c r="C45" s="9"/>
      <c r="D45" s="9"/>
      <c r="J45" s="106"/>
      <c r="K45" s="205"/>
      <c r="L45" s="205"/>
      <c r="M45" s="205"/>
      <c r="N45" s="103"/>
      <c r="O45" s="207"/>
      <c r="P45" s="207"/>
      <c r="Q45" s="207"/>
      <c r="S45" s="103"/>
      <c r="T45" s="108"/>
      <c r="U45" s="205"/>
      <c r="V45" s="205"/>
      <c r="W45" s="205"/>
      <c r="X45" s="103"/>
      <c r="Y45" s="229"/>
      <c r="Z45" s="229"/>
      <c r="AA45" s="229"/>
      <c r="AB45" s="229"/>
      <c r="AF45" s="205"/>
      <c r="AG45" s="205"/>
      <c r="AH45" s="205"/>
      <c r="AI45" s="205"/>
      <c r="AJ45" s="205"/>
      <c r="AK45" s="205"/>
      <c r="AL45" s="8"/>
      <c r="AW45" s="24">
        <v>7</v>
      </c>
      <c r="AX45" s="24" t="s">
        <v>85</v>
      </c>
    </row>
    <row r="46" spans="2:69" ht="7.5" customHeight="1" x14ac:dyDescent="0.15">
      <c r="B46" s="9"/>
      <c r="C46" s="9"/>
      <c r="D46" s="9"/>
      <c r="AW46" s="24">
        <v>8</v>
      </c>
      <c r="AX46" s="24" t="s">
        <v>86</v>
      </c>
    </row>
    <row r="47" spans="2:69" x14ac:dyDescent="0.15">
      <c r="B47" s="9"/>
      <c r="C47" s="9"/>
      <c r="D47" s="9"/>
      <c r="J47" s="106" t="s">
        <v>35</v>
      </c>
      <c r="K47" s="205">
        <f ca="1">R9</f>
        <v>6320</v>
      </c>
      <c r="L47" s="205"/>
      <c r="M47" s="205"/>
      <c r="N47" s="103" t="s">
        <v>14</v>
      </c>
      <c r="O47" s="207">
        <f>+AC32</f>
        <v>0</v>
      </c>
      <c r="P47" s="207"/>
      <c r="Q47" s="207"/>
      <c r="R47" s="103" t="s">
        <v>36</v>
      </c>
      <c r="S47" s="103" t="s">
        <v>15</v>
      </c>
      <c r="T47" s="108" t="s">
        <v>35</v>
      </c>
      <c r="U47" s="205">
        <f ca="1">+R36</f>
        <v>190</v>
      </c>
      <c r="V47" s="205"/>
      <c r="W47" s="205"/>
      <c r="X47" s="103" t="s">
        <v>14</v>
      </c>
      <c r="Y47" s="229">
        <f>IF($T$38="",$N$38,$T$38)</f>
        <v>100</v>
      </c>
      <c r="Z47" s="229"/>
      <c r="AA47" s="229"/>
      <c r="AB47" s="229"/>
      <c r="AC47" s="5" t="s">
        <v>36</v>
      </c>
      <c r="AD47" s="5" t="s">
        <v>17</v>
      </c>
      <c r="AF47" s="205" t="str">
        <f>IF(OR(,$AC$32=0,,$N$38=""),"",ROUND(+K47*O47,0)+ROUND(U47*Y47,0))</f>
        <v/>
      </c>
      <c r="AG47" s="205"/>
      <c r="AH47" s="205"/>
      <c r="AI47" s="205"/>
      <c r="AJ47" s="205"/>
      <c r="AK47" s="205"/>
      <c r="AL47" s="8" t="s">
        <v>1</v>
      </c>
      <c r="AU47" s="103"/>
      <c r="AW47" s="24">
        <v>9</v>
      </c>
      <c r="AX47" s="24" t="s">
        <v>87</v>
      </c>
    </row>
    <row r="48" spans="2:69" ht="7.5" customHeight="1" x14ac:dyDescent="0.15">
      <c r="AT48" s="103"/>
      <c r="AU48" s="103"/>
      <c r="AV48" s="122"/>
      <c r="AW48" s="24">
        <v>10</v>
      </c>
      <c r="AX48" s="24" t="s">
        <v>88</v>
      </c>
      <c r="AY48" s="141"/>
      <c r="BD48" s="141"/>
      <c r="BE48" s="141"/>
      <c r="BF48" s="141"/>
      <c r="BG48" s="141"/>
      <c r="BH48" s="141"/>
      <c r="BI48" s="141"/>
    </row>
    <row r="49" spans="2:64" ht="13.5" hidden="1" customHeight="1" x14ac:dyDescent="0.15">
      <c r="B49" s="9"/>
      <c r="C49" s="9"/>
      <c r="D49" s="9"/>
      <c r="I49" s="242" t="str">
        <f>IF($AW$50=1,"","割引額")</f>
        <v/>
      </c>
      <c r="J49" s="242"/>
      <c r="K49" s="242"/>
      <c r="L49" s="203" t="str">
        <f>IF($AW$50=1,"","運賃額")</f>
        <v/>
      </c>
      <c r="M49" s="203"/>
      <c r="N49" s="203"/>
      <c r="O49" s="203"/>
      <c r="P49" s="50"/>
      <c r="Q49" s="243" t="str">
        <f>IF($AW$50=1,"","割引率")</f>
        <v/>
      </c>
      <c r="R49" s="243"/>
      <c r="S49" s="243"/>
      <c r="T49" s="243"/>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116"/>
      <c r="AS49" s="50"/>
      <c r="AT49" s="50"/>
    </row>
    <row r="50" spans="2:64" ht="13.5" hidden="1" customHeight="1" x14ac:dyDescent="0.15">
      <c r="B50" s="9"/>
      <c r="C50" s="9"/>
      <c r="D50" s="9"/>
      <c r="I50" s="242"/>
      <c r="J50" s="242"/>
      <c r="K50" s="242"/>
      <c r="L50" s="205" t="str">
        <f>IF($AW$50=1,"",+$AF$45)</f>
        <v/>
      </c>
      <c r="M50" s="205"/>
      <c r="N50" s="205"/>
      <c r="O50" s="205"/>
      <c r="P50" s="103" t="str">
        <f>IF($AW$50=1,"","×")</f>
        <v/>
      </c>
      <c r="Q50" s="244" t="str">
        <f>IF($AW$50=1,"",IF($AW$50=2,0.3,IF($AW$50=3,0.2,0)))</f>
        <v/>
      </c>
      <c r="R50" s="244"/>
      <c r="S50" s="244"/>
      <c r="T50" s="244"/>
      <c r="U50" s="5" t="str">
        <f>IF($AW$50=1,"","=")</f>
        <v/>
      </c>
      <c r="V50" s="205" t="str">
        <f>IF($AW$50=1,"",IF($AF$45="","",ROUND($L$50*$Q$50,0)))</f>
        <v/>
      </c>
      <c r="W50" s="205"/>
      <c r="X50" s="205"/>
      <c r="Y50" s="205"/>
      <c r="Z50" s="205"/>
      <c r="AB50" s="50"/>
      <c r="AC50" s="50"/>
      <c r="AD50" s="50"/>
      <c r="AE50" s="50"/>
      <c r="AF50" s="50"/>
      <c r="AG50" s="50"/>
      <c r="AH50" s="50"/>
      <c r="AI50" s="50"/>
      <c r="AJ50" s="50"/>
      <c r="AK50" s="50"/>
      <c r="AL50" s="50"/>
      <c r="AM50" s="50"/>
      <c r="AN50" s="50"/>
      <c r="AO50" s="50"/>
      <c r="AP50" s="50"/>
      <c r="AQ50" s="50"/>
      <c r="AR50" s="116"/>
      <c r="AS50" s="50"/>
      <c r="AT50" s="50"/>
      <c r="AW50" s="146">
        <v>1</v>
      </c>
    </row>
    <row r="51" spans="2:64" ht="8.25" hidden="1" customHeight="1" x14ac:dyDescent="0.15">
      <c r="B51" s="9"/>
      <c r="C51" s="9"/>
      <c r="D51" s="9"/>
      <c r="I51" s="38"/>
      <c r="J51" s="38"/>
      <c r="K51" s="38"/>
      <c r="L51" s="205"/>
      <c r="M51" s="205"/>
      <c r="N51" s="205"/>
      <c r="O51" s="205"/>
      <c r="P51" s="103"/>
      <c r="Q51" s="227"/>
      <c r="R51" s="227"/>
      <c r="S51" s="227"/>
      <c r="T51" s="227"/>
      <c r="V51" s="205"/>
      <c r="W51" s="205"/>
      <c r="X51" s="205"/>
      <c r="Y51" s="205"/>
      <c r="Z51" s="205"/>
      <c r="AA51" s="50"/>
      <c r="AB51" s="50"/>
      <c r="AC51" s="50"/>
      <c r="AD51" s="50"/>
      <c r="AE51" s="50"/>
      <c r="AF51" s="50"/>
      <c r="AG51" s="50"/>
      <c r="AH51" s="50"/>
      <c r="AI51" s="50"/>
      <c r="AJ51" s="50"/>
      <c r="AK51" s="50"/>
      <c r="AL51" s="50"/>
      <c r="AM51" s="50"/>
      <c r="AN51" s="50"/>
      <c r="AO51" s="50"/>
      <c r="AP51" s="50"/>
      <c r="AQ51" s="50"/>
      <c r="AR51" s="116"/>
      <c r="AS51" s="50"/>
      <c r="AT51" s="50"/>
      <c r="AW51" s="146"/>
    </row>
    <row r="52" spans="2:64" hidden="1" x14ac:dyDescent="0.15">
      <c r="I52" s="5" t="str">
        <f>IF($AW$50=1,"","割引後運賃額")</f>
        <v/>
      </c>
      <c r="O52" s="38" t="str">
        <f>IF($AW$50=1,"","時間制＋キロ制運賃額")</f>
        <v/>
      </c>
      <c r="P52" s="38"/>
      <c r="Q52" s="38"/>
      <c r="S52" s="38"/>
      <c r="T52" s="38"/>
      <c r="U52" s="38"/>
      <c r="V52" s="38"/>
      <c r="W52" s="103" t="str">
        <f>IF($AW$50=1,"","－")</f>
        <v/>
      </c>
      <c r="X52" s="38" t="str">
        <f>IF($AW$50=1,"","割引額")</f>
        <v/>
      </c>
      <c r="Y52" s="38"/>
      <c r="Z52" s="38"/>
      <c r="AA52" s="5" t="str">
        <f>IF($AW$50=1,"","＝")</f>
        <v/>
      </c>
      <c r="AB52" s="205" t="str">
        <f>IF($AW$50=1,"",(IF(AF45-V50&gt;AF47,AF45-V50,AF47)))</f>
        <v/>
      </c>
      <c r="AC52" s="205"/>
      <c r="AD52" s="205"/>
      <c r="AE52" s="205"/>
      <c r="AF52" s="205"/>
      <c r="AG52" s="205"/>
      <c r="AH52" s="8" t="str">
        <f>IF($AW$50=1,"","上限額①´")</f>
        <v/>
      </c>
      <c r="AI52" s="8"/>
      <c r="BL52" s="167"/>
    </row>
    <row r="53" spans="2:64" hidden="1" x14ac:dyDescent="0.15">
      <c r="O53" s="38"/>
      <c r="P53" s="38"/>
      <c r="Q53" s="38"/>
      <c r="S53" s="38"/>
      <c r="T53" s="38"/>
      <c r="U53" s="38"/>
      <c r="V53" s="38"/>
      <c r="W53" s="103"/>
      <c r="X53" s="38"/>
      <c r="Y53" s="38"/>
      <c r="Z53" s="38"/>
      <c r="AB53" s="19" t="str">
        <f>IF($AW$50=1,"","※割引は下限額を限度とします")</f>
        <v/>
      </c>
      <c r="AC53" s="109"/>
      <c r="AD53" s="109"/>
      <c r="AE53" s="109"/>
      <c r="AF53" s="109"/>
      <c r="AG53" s="109"/>
      <c r="AH53" s="8"/>
      <c r="AI53" s="8"/>
      <c r="BL53" s="167"/>
    </row>
    <row r="54" spans="2:64" x14ac:dyDescent="0.15">
      <c r="D54" s="16"/>
      <c r="E54" s="16"/>
      <c r="F54" s="16"/>
      <c r="G54" s="16"/>
      <c r="H54" s="16"/>
      <c r="I54" s="16"/>
      <c r="J54" s="16"/>
      <c r="K54" s="16"/>
      <c r="M54" s="117"/>
      <c r="N54" s="117"/>
      <c r="O54" s="117"/>
      <c r="P54" s="117"/>
      <c r="Q54" s="117"/>
      <c r="R54" s="117"/>
      <c r="S54" s="117"/>
      <c r="T54" s="117"/>
      <c r="U54" s="117"/>
      <c r="V54" s="117"/>
      <c r="W54" s="117"/>
      <c r="X54" s="117"/>
      <c r="Y54" s="117"/>
      <c r="Z54" s="117"/>
      <c r="AA54" s="117"/>
      <c r="AB54" s="117"/>
      <c r="AC54" s="117"/>
      <c r="AD54" s="117"/>
      <c r="AE54" s="117"/>
      <c r="AF54" s="117"/>
      <c r="AG54" s="117"/>
      <c r="AH54" s="117"/>
      <c r="AI54" s="117"/>
      <c r="AJ54" s="117"/>
      <c r="AK54" s="117"/>
      <c r="AL54" s="117"/>
      <c r="AM54" s="117"/>
      <c r="AN54" s="117"/>
      <c r="AO54" s="117"/>
      <c r="AP54" s="117"/>
      <c r="AQ54" s="117"/>
      <c r="AR54" s="117"/>
      <c r="AS54" s="117"/>
      <c r="AT54" s="117"/>
      <c r="AU54" s="117"/>
      <c r="AV54" s="122"/>
      <c r="AW54" s="141"/>
    </row>
    <row r="55" spans="2:64" ht="21" x14ac:dyDescent="0.15">
      <c r="B55" s="51" t="s">
        <v>41</v>
      </c>
      <c r="E55" s="5" t="s">
        <v>24</v>
      </c>
      <c r="I55" s="8" t="str">
        <f>IF($AQ$32=0,"","深夜早朝時間が発生しています")</f>
        <v/>
      </c>
      <c r="K55" s="3"/>
    </row>
    <row r="56" spans="2:64" ht="21" x14ac:dyDescent="0.15">
      <c r="B56" s="51"/>
      <c r="I56" s="8"/>
      <c r="K56" s="3"/>
    </row>
    <row r="57" spans="2:64" ht="20.25" customHeight="1" x14ac:dyDescent="0.15">
      <c r="J57" s="5" t="str">
        <f>IF($AQ$32=0,"","割増率")</f>
        <v/>
      </c>
      <c r="M57" s="231">
        <v>20</v>
      </c>
      <c r="N57" s="231"/>
      <c r="O57" s="3" t="str">
        <f>IF($AQ$32=0,"","％")</f>
        <v/>
      </c>
      <c r="P57" s="156"/>
      <c r="Q57" s="231"/>
      <c r="R57" s="231"/>
      <c r="S57" s="3"/>
      <c r="T57" s="40"/>
      <c r="U57" s="40"/>
      <c r="V57" s="40"/>
      <c r="W57" s="3"/>
      <c r="Z57" s="1"/>
      <c r="AA57" s="1"/>
      <c r="AB57" s="1"/>
      <c r="AC57" s="1"/>
      <c r="AD57" s="1"/>
      <c r="AE57" s="1"/>
      <c r="AF57" s="1"/>
      <c r="AG57" s="1"/>
      <c r="AH57" s="1"/>
      <c r="AI57" s="1"/>
      <c r="AJ57" s="1"/>
      <c r="AK57" s="1"/>
      <c r="AL57" s="1"/>
      <c r="AM57" s="1"/>
      <c r="AN57" s="1"/>
      <c r="AO57" s="1"/>
      <c r="AP57" s="1"/>
      <c r="AQ57" s="1"/>
      <c r="AR57" s="1"/>
      <c r="AS57" s="1"/>
      <c r="AT57" s="1"/>
      <c r="AU57" s="1"/>
      <c r="AV57" s="20"/>
      <c r="AW57" s="144"/>
      <c r="AX57" s="144"/>
      <c r="AY57" s="144"/>
    </row>
    <row r="58" spans="2:64" x14ac:dyDescent="0.15">
      <c r="J58" s="8"/>
      <c r="K58" s="8"/>
      <c r="L58" s="8"/>
      <c r="M58" s="8"/>
      <c r="N58" s="8"/>
      <c r="O58" s="8"/>
      <c r="P58" s="8"/>
      <c r="Q58" s="8"/>
      <c r="R58" s="122"/>
      <c r="S58" s="8"/>
      <c r="T58" s="8"/>
      <c r="U58" s="8"/>
      <c r="V58" s="8"/>
      <c r="W58" s="8"/>
      <c r="AB58" s="203"/>
      <c r="AC58" s="203"/>
      <c r="AD58" s="203"/>
      <c r="AE58" s="203"/>
      <c r="AF58" s="38"/>
      <c r="AG58" s="203"/>
      <c r="AH58" s="203"/>
      <c r="AJ58" s="203"/>
      <c r="AK58" s="203"/>
      <c r="AL58" s="203"/>
      <c r="AM58" s="203"/>
      <c r="AN58" s="203"/>
      <c r="AV58" s="113"/>
      <c r="AW58" s="168"/>
      <c r="AX58" s="168"/>
      <c r="AY58" s="144"/>
      <c r="AZ58" s="144"/>
    </row>
    <row r="59" spans="2:64" ht="20.25" customHeight="1" x14ac:dyDescent="0.15">
      <c r="M59" s="115"/>
      <c r="N59" s="115"/>
      <c r="O59" s="5" t="str">
        <f>IF($AQ$32=0,"","時間単価")</f>
        <v/>
      </c>
      <c r="P59" s="52"/>
      <c r="Q59" s="8"/>
      <c r="R59" s="158"/>
      <c r="S59" s="3" t="str">
        <f>IF($AQ$32=0,"","割増率")</f>
        <v/>
      </c>
      <c r="T59" s="40"/>
      <c r="U59" s="40"/>
      <c r="V59" s="40"/>
      <c r="W59" s="3" t="str">
        <f>IF($AQ$32=0,"","深夜早朝時間計")</f>
        <v/>
      </c>
      <c r="AB59" s="103"/>
      <c r="AC59" s="103"/>
      <c r="AD59" s="103"/>
      <c r="AE59" s="103"/>
      <c r="AF59" s="38"/>
      <c r="AG59" s="103"/>
      <c r="AH59" s="103"/>
      <c r="AJ59" s="103"/>
      <c r="AK59" s="103"/>
      <c r="AL59" s="103"/>
      <c r="AM59" s="103"/>
      <c r="AN59" s="103"/>
      <c r="AV59" s="113"/>
      <c r="AW59" s="168"/>
      <c r="AX59" s="168"/>
      <c r="AY59" s="144"/>
      <c r="AZ59" s="144"/>
    </row>
    <row r="60" spans="2:64" ht="18.75" hidden="1" customHeight="1" x14ac:dyDescent="0.15">
      <c r="H60" s="203"/>
      <c r="I60" s="203"/>
      <c r="J60" s="203"/>
      <c r="K60" s="8"/>
      <c r="N60" s="205"/>
      <c r="O60" s="205"/>
      <c r="P60" s="205"/>
      <c r="Q60" s="205"/>
      <c r="S60" s="227"/>
      <c r="T60" s="227"/>
      <c r="U60" s="103"/>
      <c r="V60" s="207"/>
      <c r="W60" s="207"/>
      <c r="X60" s="207"/>
      <c r="Y60" s="207"/>
      <c r="Z60" s="207"/>
      <c r="AA60" s="103"/>
      <c r="AB60" s="208"/>
      <c r="AC60" s="208"/>
      <c r="AD60" s="208"/>
      <c r="AE60" s="208"/>
      <c r="AF60" s="208"/>
      <c r="AJ60" s="53"/>
      <c r="AK60" s="53"/>
      <c r="AL60" s="53"/>
    </row>
    <row r="61" spans="2:64" ht="5.25" hidden="1" customHeight="1" x14ac:dyDescent="0.15">
      <c r="H61" s="116"/>
      <c r="N61" s="109"/>
      <c r="O61" s="109"/>
      <c r="P61" s="109"/>
      <c r="Q61" s="109"/>
      <c r="S61" s="110"/>
      <c r="T61" s="110"/>
      <c r="U61" s="38"/>
      <c r="V61" s="112"/>
      <c r="W61" s="112"/>
      <c r="X61" s="112"/>
      <c r="Y61" s="112"/>
      <c r="Z61" s="112"/>
      <c r="AB61" s="54"/>
      <c r="AC61" s="54"/>
      <c r="AD61" s="54"/>
      <c r="AE61" s="54"/>
      <c r="AF61" s="54"/>
      <c r="AH61" s="13"/>
      <c r="AI61" s="13"/>
      <c r="AJ61" s="13"/>
      <c r="AK61" s="1"/>
      <c r="AL61" s="1"/>
      <c r="AN61" s="53"/>
    </row>
    <row r="62" spans="2:64" ht="13.5" hidden="1" customHeight="1" x14ac:dyDescent="0.15">
      <c r="D62" s="203"/>
      <c r="E62" s="203"/>
      <c r="F62" s="203"/>
      <c r="G62" s="203"/>
      <c r="H62" s="203"/>
      <c r="I62" s="203"/>
      <c r="J62" s="203"/>
      <c r="K62" s="34"/>
      <c r="L62" s="38"/>
      <c r="M62" s="38"/>
      <c r="N62" s="205"/>
      <c r="O62" s="205"/>
      <c r="P62" s="205"/>
      <c r="Q62" s="205"/>
      <c r="S62" s="206"/>
      <c r="T62" s="206"/>
      <c r="U62" s="103"/>
      <c r="V62" s="207"/>
      <c r="W62" s="207"/>
      <c r="X62" s="207"/>
      <c r="Y62" s="207"/>
      <c r="Z62" s="207"/>
      <c r="AA62" s="103"/>
      <c r="AB62" s="208"/>
      <c r="AC62" s="208"/>
      <c r="AD62" s="208"/>
      <c r="AE62" s="208"/>
      <c r="AF62" s="208"/>
      <c r="AH62" s="13"/>
      <c r="AI62" s="208"/>
      <c r="AJ62" s="208"/>
      <c r="AK62" s="208"/>
      <c r="AL62" s="208"/>
      <c r="AM62" s="208"/>
      <c r="AN62" s="34"/>
      <c r="AV62" s="113"/>
    </row>
    <row r="63" spans="2:64" ht="13.5" hidden="1" customHeight="1" x14ac:dyDescent="0.15">
      <c r="D63" s="103"/>
      <c r="E63" s="103"/>
      <c r="F63" s="103"/>
      <c r="G63" s="103"/>
      <c r="H63" s="103"/>
      <c r="I63" s="103"/>
      <c r="J63" s="103"/>
      <c r="K63" s="34"/>
      <c r="L63" s="38"/>
      <c r="M63" s="38"/>
      <c r="N63" s="109"/>
      <c r="O63" s="109"/>
      <c r="P63" s="109"/>
      <c r="Q63" s="109"/>
      <c r="S63" s="110"/>
      <c r="T63" s="110"/>
      <c r="U63" s="103"/>
      <c r="V63" s="112"/>
      <c r="W63" s="112"/>
      <c r="X63" s="112"/>
      <c r="Y63" s="112"/>
      <c r="Z63" s="112"/>
      <c r="AA63" s="103"/>
      <c r="AB63" s="150"/>
      <c r="AC63" s="150"/>
      <c r="AD63" s="150"/>
      <c r="AE63" s="150"/>
      <c r="AF63" s="150"/>
      <c r="AH63" s="157"/>
      <c r="AI63" s="150"/>
      <c r="AJ63" s="150"/>
      <c r="AK63" s="150"/>
      <c r="AL63" s="150"/>
      <c r="AM63" s="150"/>
      <c r="AN63" s="34"/>
      <c r="AO63" s="34"/>
      <c r="AP63" s="34"/>
      <c r="AV63" s="113"/>
    </row>
    <row r="64" spans="2:64" ht="19.5" hidden="1" customHeight="1" x14ac:dyDescent="0.15">
      <c r="H64" s="116"/>
      <c r="N64" s="205"/>
      <c r="O64" s="205"/>
      <c r="P64" s="205"/>
      <c r="Q64" s="205"/>
      <c r="S64" s="205"/>
      <c r="T64" s="205"/>
      <c r="U64" s="38"/>
      <c r="V64" s="207"/>
      <c r="W64" s="207"/>
      <c r="X64" s="207"/>
      <c r="Y64" s="207"/>
      <c r="Z64" s="207"/>
      <c r="AB64" s="245"/>
      <c r="AC64" s="245"/>
      <c r="AD64" s="245"/>
      <c r="AE64" s="245"/>
      <c r="AF64" s="245"/>
    </row>
    <row r="65" spans="2:48" x14ac:dyDescent="0.15">
      <c r="H65" s="116"/>
      <c r="N65" s="109"/>
      <c r="O65" s="109"/>
      <c r="P65" s="109"/>
      <c r="Q65" s="109"/>
      <c r="S65" s="110"/>
      <c r="T65" s="110"/>
      <c r="U65" s="38"/>
      <c r="V65" s="112"/>
      <c r="W65" s="112"/>
      <c r="X65" s="112"/>
      <c r="Y65" s="112"/>
      <c r="Z65" s="112"/>
      <c r="AB65" s="54"/>
      <c r="AC65" s="54"/>
      <c r="AD65" s="54"/>
      <c r="AE65" s="54"/>
      <c r="AF65" s="54"/>
      <c r="AH65" s="13"/>
      <c r="AI65" s="56"/>
      <c r="AJ65" s="56"/>
      <c r="AK65" s="56"/>
      <c r="AL65" s="56"/>
      <c r="AM65" s="56"/>
      <c r="AN65" s="57"/>
    </row>
    <row r="66" spans="2:48" x14ac:dyDescent="0.15">
      <c r="H66" s="204" t="str">
        <f>IF($AQ$32=0,"","(運    賃)")</f>
        <v/>
      </c>
      <c r="I66" s="204"/>
      <c r="J66" s="204"/>
      <c r="K66" s="204"/>
      <c r="L66" s="204"/>
      <c r="M66" s="204"/>
      <c r="N66" s="205" t="str">
        <f>IF($AQ$32=0,"",R9)</f>
        <v/>
      </c>
      <c r="O66" s="205"/>
      <c r="P66" s="205"/>
      <c r="Q66" s="205"/>
      <c r="R66" s="103" t="str">
        <f>IF($AQ$32=0,"","×")</f>
        <v/>
      </c>
      <c r="S66" s="206" t="str">
        <f>IF($AQ$32=0,"",IF($M$57="","",+$M$57/100))</f>
        <v/>
      </c>
      <c r="T66" s="206"/>
      <c r="U66" s="103" t="str">
        <f>IF($AQ$32=0,"","×")</f>
        <v/>
      </c>
      <c r="V66" s="207" t="str">
        <f>IF($AQ$32=0,"",$AQ$32)</f>
        <v/>
      </c>
      <c r="W66" s="207"/>
      <c r="X66" s="207"/>
      <c r="Y66" s="207"/>
      <c r="Z66" s="207"/>
      <c r="AA66" s="103" t="str">
        <f>IF($AQ$32=0,"","＝")</f>
        <v/>
      </c>
      <c r="AB66" s="208" t="str">
        <f>IF($AQ$32=0,"",IF(M57="","",ROUND(N66*S66*V66,0)))</f>
        <v/>
      </c>
      <c r="AC66" s="208"/>
      <c r="AD66" s="208"/>
      <c r="AE66" s="208"/>
      <c r="AF66" s="208"/>
    </row>
    <row r="67" spans="2:48" ht="6.75" hidden="1" customHeight="1" x14ac:dyDescent="0.15">
      <c r="H67" s="116"/>
      <c r="N67" s="109"/>
      <c r="O67" s="109"/>
      <c r="P67" s="109"/>
      <c r="Q67" s="109"/>
      <c r="S67" s="110"/>
      <c r="T67" s="110"/>
      <c r="U67" s="38"/>
      <c r="V67" s="112"/>
      <c r="W67" s="112"/>
      <c r="X67" s="112"/>
      <c r="Y67" s="112"/>
      <c r="Z67" s="112"/>
      <c r="AB67" s="54"/>
      <c r="AC67" s="54"/>
      <c r="AD67" s="54"/>
      <c r="AE67" s="54"/>
      <c r="AF67" s="54"/>
      <c r="AH67" s="13"/>
      <c r="AI67" s="56"/>
      <c r="AJ67" s="56"/>
      <c r="AK67" s="56"/>
      <c r="AL67" s="56"/>
      <c r="AM67" s="56"/>
      <c r="AN67" s="53"/>
    </row>
    <row r="68" spans="2:48" ht="13.5" customHeight="1" x14ac:dyDescent="0.15">
      <c r="D68" s="204" t="str">
        <f>IF($AQ$32=0,"",IF($AW$101=FALSE,"","　(交替運転者配置料金)"))</f>
        <v/>
      </c>
      <c r="E68" s="204"/>
      <c r="F68" s="204"/>
      <c r="G68" s="204"/>
      <c r="H68" s="204"/>
      <c r="I68" s="204"/>
      <c r="J68" s="204"/>
      <c r="K68" s="204"/>
      <c r="L68" s="204"/>
      <c r="M68" s="204"/>
      <c r="N68" s="205" t="str">
        <f>IF($AQ$32=0,"",IF($AW$101=FALSE,"",Q105))</f>
        <v/>
      </c>
      <c r="O68" s="205"/>
      <c r="P68" s="205"/>
      <c r="Q68" s="205"/>
      <c r="R68" s="103" t="str">
        <f>IF($AQ$32=0,"",IF($AW$101=FALSE,"","×"))</f>
        <v/>
      </c>
      <c r="S68" s="206" t="str">
        <f>IF($AQ$32=0,"",IF($AW$101=FALSE,"",IF(M57="","",$M$57/100)))</f>
        <v/>
      </c>
      <c r="T68" s="206"/>
      <c r="U68" s="103" t="str">
        <f>IF($AQ$32=0,"",IF($AW$101=FALSE,"","×"))</f>
        <v/>
      </c>
      <c r="V68" s="207" t="str">
        <f>IF($AQ$32=0,"",IF($AW$101=FALSE,"",$AQ$32))</f>
        <v/>
      </c>
      <c r="W68" s="207"/>
      <c r="X68" s="207"/>
      <c r="Y68" s="207"/>
      <c r="Z68" s="207"/>
      <c r="AA68" s="103" t="str">
        <f>IF($AQ$32=0,"","＝")</f>
        <v/>
      </c>
      <c r="AB68" s="208" t="str">
        <f>IF($AQ$32=0,"",IF($AW$101=FALSE,"",IF(M57="","",ROUND(N68*S68*V68,0))))</f>
        <v/>
      </c>
      <c r="AC68" s="208"/>
      <c r="AD68" s="208"/>
      <c r="AE68" s="208"/>
      <c r="AF68" s="208"/>
      <c r="AH68" s="115" t="str">
        <f>IF($AQ$32=0,"","計")</f>
        <v/>
      </c>
      <c r="AI68" s="208" t="str">
        <f>IF(AQ32=0,"",IF($AW$101=TRUE,AB66+AB68,AB66))</f>
        <v/>
      </c>
      <c r="AJ68" s="208"/>
      <c r="AK68" s="208"/>
      <c r="AL68" s="208"/>
      <c r="AM68" s="208"/>
      <c r="AN68" s="34" t="s">
        <v>24</v>
      </c>
      <c r="AO68" s="34"/>
      <c r="AP68" s="34"/>
      <c r="AV68" s="113"/>
    </row>
    <row r="69" spans="2:48" ht="13.5" customHeight="1" x14ac:dyDescent="0.15">
      <c r="D69" s="103"/>
      <c r="E69" s="103"/>
      <c r="F69" s="103"/>
      <c r="G69" s="103"/>
      <c r="H69" s="103"/>
      <c r="I69" s="103"/>
      <c r="J69" s="103"/>
      <c r="K69" s="34"/>
      <c r="M69" s="38"/>
      <c r="N69" s="109"/>
      <c r="O69" s="109"/>
      <c r="P69" s="109"/>
      <c r="Q69" s="109"/>
      <c r="S69" s="110"/>
      <c r="T69" s="110"/>
      <c r="U69" s="103"/>
      <c r="V69" s="112"/>
      <c r="W69" s="112"/>
      <c r="X69" s="112"/>
      <c r="Y69" s="112"/>
      <c r="Z69" s="112"/>
      <c r="AA69" s="103"/>
      <c r="AB69" s="150"/>
      <c r="AC69" s="150"/>
      <c r="AD69" s="150"/>
      <c r="AE69" s="150"/>
      <c r="AF69" s="150"/>
      <c r="AH69" s="9"/>
      <c r="AI69" s="9"/>
      <c r="AJ69" s="9"/>
      <c r="AK69" s="9"/>
      <c r="AL69" s="9"/>
      <c r="AM69" s="9"/>
      <c r="AN69" s="9"/>
      <c r="AO69" s="9"/>
      <c r="AP69" s="9"/>
      <c r="AV69" s="113"/>
    </row>
    <row r="70" spans="2:48" ht="13.5" hidden="1" customHeight="1" x14ac:dyDescent="0.15">
      <c r="D70" s="103"/>
      <c r="E70" s="103"/>
      <c r="F70" s="103"/>
      <c r="G70" s="103"/>
      <c r="H70" s="103"/>
      <c r="I70" s="103"/>
      <c r="J70" s="103"/>
      <c r="K70" s="34"/>
      <c r="M70" s="38"/>
      <c r="N70" s="205"/>
      <c r="O70" s="205"/>
      <c r="P70" s="205"/>
      <c r="Q70" s="205"/>
      <c r="S70" s="205"/>
      <c r="T70" s="205"/>
      <c r="U70" s="103"/>
      <c r="V70" s="207"/>
      <c r="W70" s="207"/>
      <c r="X70" s="207"/>
      <c r="Y70" s="207"/>
      <c r="Z70" s="207"/>
      <c r="AA70" s="103"/>
      <c r="AB70" s="208"/>
      <c r="AC70" s="208"/>
      <c r="AD70" s="208"/>
      <c r="AE70" s="208"/>
      <c r="AF70" s="208"/>
      <c r="AG70" s="56"/>
      <c r="AV70" s="113"/>
    </row>
    <row r="71" spans="2:48" ht="13.5" hidden="1" customHeight="1" x14ac:dyDescent="0.15">
      <c r="B71" s="113"/>
      <c r="C71" s="113"/>
      <c r="D71" s="113"/>
      <c r="F71" s="113"/>
      <c r="G71" s="103"/>
      <c r="H71" s="103"/>
      <c r="I71" s="103"/>
      <c r="J71" s="103"/>
      <c r="K71" s="34"/>
      <c r="M71" s="38"/>
      <c r="N71" s="109"/>
      <c r="O71" s="109"/>
      <c r="P71" s="109"/>
      <c r="Q71" s="109"/>
      <c r="S71" s="155"/>
      <c r="T71" s="110"/>
      <c r="U71" s="103"/>
      <c r="V71" s="112"/>
      <c r="W71" s="112"/>
      <c r="X71" s="112"/>
      <c r="Y71" s="112"/>
      <c r="Z71" s="112"/>
      <c r="AA71" s="103"/>
      <c r="AB71" s="150"/>
      <c r="AC71" s="150"/>
      <c r="AD71" s="150"/>
      <c r="AE71" s="150"/>
      <c r="AF71" s="150"/>
      <c r="AH71" s="115"/>
      <c r="AI71" s="150"/>
      <c r="AJ71" s="150"/>
      <c r="AK71" s="150"/>
      <c r="AL71" s="150"/>
      <c r="AM71" s="150"/>
      <c r="AN71" s="34"/>
      <c r="AO71" s="34"/>
      <c r="AP71" s="34"/>
      <c r="AV71" s="113"/>
    </row>
    <row r="72" spans="2:48" ht="24" hidden="1" customHeight="1" x14ac:dyDescent="0.15">
      <c r="D72" s="116"/>
      <c r="E72" s="103"/>
      <c r="F72" s="103"/>
      <c r="G72" s="103"/>
      <c r="H72" s="103"/>
      <c r="I72" s="103"/>
      <c r="J72" s="103"/>
      <c r="K72" s="34"/>
      <c r="M72" s="38"/>
      <c r="N72" s="109"/>
      <c r="O72" s="109"/>
      <c r="P72" s="109"/>
      <c r="Q72" s="109"/>
      <c r="S72" s="110"/>
      <c r="T72" s="110"/>
      <c r="U72" s="103"/>
      <c r="V72" s="112"/>
      <c r="W72" s="112"/>
      <c r="X72" s="112"/>
      <c r="Y72" s="112"/>
      <c r="Z72" s="112"/>
      <c r="AA72" s="103"/>
      <c r="AB72" s="150"/>
      <c r="AC72" s="150"/>
      <c r="AD72" s="150"/>
      <c r="AE72" s="150"/>
      <c r="AF72" s="150"/>
      <c r="AH72" s="115"/>
      <c r="AI72" s="150"/>
      <c r="AJ72" s="150"/>
      <c r="AK72" s="150"/>
      <c r="AL72" s="150"/>
      <c r="AM72" s="150"/>
      <c r="AN72" s="34"/>
      <c r="AO72" s="34"/>
      <c r="AP72" s="34"/>
      <c r="AV72" s="113"/>
    </row>
    <row r="73" spans="2:48" ht="13.5" hidden="1" customHeight="1" x14ac:dyDescent="0.15">
      <c r="H73" s="203"/>
      <c r="I73" s="203"/>
      <c r="J73" s="203"/>
      <c r="K73" s="8"/>
      <c r="N73" s="205"/>
      <c r="O73" s="205"/>
      <c r="P73" s="205"/>
      <c r="Q73" s="205"/>
      <c r="S73" s="227"/>
      <c r="T73" s="227"/>
      <c r="U73" s="103"/>
      <c r="V73" s="207"/>
      <c r="W73" s="207"/>
      <c r="X73" s="207"/>
      <c r="Y73" s="207"/>
      <c r="Z73" s="207"/>
      <c r="AA73" s="103"/>
      <c r="AB73" s="208"/>
      <c r="AC73" s="208"/>
      <c r="AD73" s="208"/>
      <c r="AE73" s="208"/>
      <c r="AF73" s="208"/>
      <c r="AJ73" s="53"/>
      <c r="AK73" s="53"/>
      <c r="AL73" s="53"/>
      <c r="AV73" s="113"/>
    </row>
    <row r="74" spans="2:48" ht="7.5" hidden="1" customHeight="1" x14ac:dyDescent="0.15">
      <c r="H74" s="116"/>
      <c r="N74" s="109"/>
      <c r="O74" s="109"/>
      <c r="P74" s="109"/>
      <c r="Q74" s="109"/>
      <c r="S74" s="110"/>
      <c r="T74" s="110"/>
      <c r="U74" s="38"/>
      <c r="V74" s="112"/>
      <c r="W74" s="112"/>
      <c r="X74" s="112"/>
      <c r="Y74" s="112"/>
      <c r="Z74" s="112"/>
      <c r="AB74" s="54"/>
      <c r="AC74" s="54"/>
      <c r="AD74" s="54"/>
      <c r="AE74" s="54"/>
      <c r="AF74" s="54"/>
      <c r="AH74" s="13"/>
      <c r="AI74" s="13"/>
      <c r="AJ74" s="13"/>
      <c r="AK74" s="1"/>
      <c r="AL74" s="1"/>
      <c r="AN74" s="53"/>
      <c r="AV74" s="113"/>
    </row>
    <row r="75" spans="2:48" ht="13.5" hidden="1" customHeight="1" x14ac:dyDescent="0.15">
      <c r="D75" s="203"/>
      <c r="E75" s="203"/>
      <c r="F75" s="203"/>
      <c r="G75" s="203"/>
      <c r="H75" s="203"/>
      <c r="I75" s="203"/>
      <c r="J75" s="203"/>
      <c r="K75" s="34"/>
      <c r="L75" s="38"/>
      <c r="M75" s="38"/>
      <c r="N75" s="205"/>
      <c r="O75" s="205"/>
      <c r="P75" s="205"/>
      <c r="Q75" s="205"/>
      <c r="S75" s="227"/>
      <c r="T75" s="227"/>
      <c r="U75" s="103"/>
      <c r="V75" s="207"/>
      <c r="W75" s="207"/>
      <c r="X75" s="207"/>
      <c r="Y75" s="207"/>
      <c r="Z75" s="207"/>
      <c r="AA75" s="103"/>
      <c r="AB75" s="208"/>
      <c r="AC75" s="208"/>
      <c r="AD75" s="208"/>
      <c r="AE75" s="208"/>
      <c r="AF75" s="208"/>
      <c r="AH75" s="115"/>
      <c r="AI75" s="208"/>
      <c r="AJ75" s="208"/>
      <c r="AK75" s="208"/>
      <c r="AL75" s="208"/>
      <c r="AM75" s="208"/>
      <c r="AN75" s="34"/>
      <c r="AO75" s="34"/>
      <c r="AP75" s="34"/>
      <c r="AV75" s="113"/>
    </row>
    <row r="76" spans="2:48" ht="13.5" hidden="1" customHeight="1" x14ac:dyDescent="0.15">
      <c r="H76" s="116"/>
      <c r="N76" s="109"/>
      <c r="O76" s="109"/>
      <c r="P76" s="109"/>
      <c r="Q76" s="109"/>
      <c r="S76" s="110"/>
      <c r="T76" s="110"/>
      <c r="U76" s="38"/>
      <c r="V76" s="112"/>
      <c r="W76" s="112"/>
      <c r="X76" s="112"/>
      <c r="Y76" s="112"/>
      <c r="Z76" s="112"/>
      <c r="AB76" s="54"/>
      <c r="AC76" s="54"/>
      <c r="AD76" s="54"/>
      <c r="AE76" s="54"/>
      <c r="AF76" s="54"/>
      <c r="AH76" s="13"/>
      <c r="AI76" s="56"/>
      <c r="AJ76" s="56"/>
      <c r="AK76" s="56"/>
      <c r="AL76" s="56"/>
      <c r="AM76" s="56"/>
      <c r="AN76" s="57"/>
      <c r="AV76" s="113"/>
    </row>
    <row r="77" spans="2:48" ht="13.5" hidden="1" customHeight="1" x14ac:dyDescent="0.15">
      <c r="H77" s="203"/>
      <c r="I77" s="203"/>
      <c r="J77" s="203"/>
      <c r="K77" s="8"/>
      <c r="N77" s="205"/>
      <c r="O77" s="205"/>
      <c r="P77" s="205"/>
      <c r="Q77" s="205"/>
      <c r="S77" s="227"/>
      <c r="T77" s="227"/>
      <c r="U77" s="103"/>
      <c r="V77" s="207"/>
      <c r="W77" s="207"/>
      <c r="X77" s="207"/>
      <c r="Y77" s="207"/>
      <c r="Z77" s="207"/>
      <c r="AA77" s="103"/>
      <c r="AB77" s="208"/>
      <c r="AC77" s="208"/>
      <c r="AD77" s="208"/>
      <c r="AE77" s="208"/>
      <c r="AF77" s="208"/>
      <c r="AV77" s="113"/>
    </row>
    <row r="78" spans="2:48" ht="7.5" hidden="1" customHeight="1" x14ac:dyDescent="0.15">
      <c r="H78" s="116"/>
      <c r="N78" s="109"/>
      <c r="O78" s="109"/>
      <c r="P78" s="109"/>
      <c r="Q78" s="109"/>
      <c r="S78" s="110"/>
      <c r="T78" s="110"/>
      <c r="U78" s="38"/>
      <c r="V78" s="112"/>
      <c r="W78" s="112"/>
      <c r="X78" s="112"/>
      <c r="Y78" s="112"/>
      <c r="Z78" s="112"/>
      <c r="AB78" s="54"/>
      <c r="AC78" s="54"/>
      <c r="AD78" s="54"/>
      <c r="AE78" s="54"/>
      <c r="AF78" s="54"/>
      <c r="AH78" s="13"/>
      <c r="AI78" s="56"/>
      <c r="AJ78" s="56"/>
      <c r="AK78" s="56"/>
      <c r="AL78" s="56"/>
      <c r="AM78" s="56"/>
      <c r="AN78" s="53"/>
      <c r="AV78" s="113"/>
    </row>
    <row r="79" spans="2:48" ht="13.5" hidden="1" customHeight="1" x14ac:dyDescent="0.15">
      <c r="D79" s="203"/>
      <c r="E79" s="203"/>
      <c r="F79" s="203"/>
      <c r="G79" s="203"/>
      <c r="H79" s="203"/>
      <c r="I79" s="203"/>
      <c r="J79" s="203"/>
      <c r="K79" s="34"/>
      <c r="M79" s="38"/>
      <c r="N79" s="205"/>
      <c r="O79" s="205"/>
      <c r="P79" s="205"/>
      <c r="Q79" s="205"/>
      <c r="S79" s="227"/>
      <c r="T79" s="227"/>
      <c r="U79" s="103"/>
      <c r="V79" s="207"/>
      <c r="W79" s="207"/>
      <c r="X79" s="207"/>
      <c r="Y79" s="207"/>
      <c r="Z79" s="207"/>
      <c r="AA79" s="103"/>
      <c r="AB79" s="208"/>
      <c r="AC79" s="208"/>
      <c r="AD79" s="208"/>
      <c r="AE79" s="208"/>
      <c r="AF79" s="208"/>
      <c r="AH79" s="115"/>
      <c r="AI79" s="208"/>
      <c r="AJ79" s="208"/>
      <c r="AK79" s="208"/>
      <c r="AL79" s="208"/>
      <c r="AM79" s="208"/>
      <c r="AN79" s="34"/>
      <c r="AO79" s="34"/>
      <c r="AP79" s="34"/>
      <c r="AV79" s="113"/>
    </row>
    <row r="80" spans="2:48" ht="13.5" hidden="1" customHeight="1" x14ac:dyDescent="0.15">
      <c r="D80" s="103"/>
      <c r="E80" s="103"/>
      <c r="F80" s="103"/>
      <c r="G80" s="103"/>
      <c r="H80" s="103"/>
      <c r="I80" s="103"/>
      <c r="J80" s="103"/>
      <c r="K80" s="34"/>
      <c r="M80" s="38"/>
      <c r="N80" s="109"/>
      <c r="O80" s="109"/>
      <c r="P80" s="109"/>
      <c r="Q80" s="109"/>
      <c r="S80" s="110"/>
      <c r="T80" s="110"/>
      <c r="U80" s="103"/>
      <c r="V80" s="112"/>
      <c r="W80" s="112"/>
      <c r="X80" s="112"/>
      <c r="Y80" s="112"/>
      <c r="Z80" s="112"/>
      <c r="AA80" s="103"/>
      <c r="AB80" s="150"/>
      <c r="AC80" s="150"/>
      <c r="AD80" s="150"/>
      <c r="AE80" s="150"/>
      <c r="AF80" s="150"/>
      <c r="AH80" s="115"/>
      <c r="AI80" s="150"/>
      <c r="AJ80" s="150"/>
      <c r="AK80" s="150"/>
      <c r="AL80" s="150"/>
      <c r="AM80" s="150"/>
      <c r="AN80" s="34"/>
      <c r="AO80" s="34"/>
      <c r="AP80" s="34"/>
      <c r="AV80" s="113"/>
    </row>
    <row r="81" spans="1:49" ht="13.5" hidden="1" customHeight="1" x14ac:dyDescent="0.15">
      <c r="D81" s="103"/>
      <c r="E81" s="103"/>
      <c r="F81" s="103"/>
      <c r="G81" s="103"/>
      <c r="H81" s="103"/>
      <c r="I81" s="103"/>
      <c r="J81" s="103"/>
      <c r="K81" s="34"/>
      <c r="M81" s="38"/>
      <c r="N81" s="109"/>
      <c r="O81" s="109"/>
      <c r="P81" s="109"/>
      <c r="Q81" s="109"/>
      <c r="S81" s="110"/>
      <c r="T81" s="110"/>
      <c r="U81" s="103"/>
      <c r="V81" s="112"/>
      <c r="W81" s="112"/>
      <c r="X81" s="112"/>
      <c r="Y81" s="112"/>
      <c r="Z81" s="112"/>
      <c r="AA81" s="103"/>
      <c r="AB81" s="150"/>
      <c r="AC81" s="150"/>
      <c r="AD81" s="150"/>
      <c r="AE81" s="150"/>
      <c r="AF81" s="150"/>
      <c r="AH81" s="115"/>
      <c r="AI81" s="150"/>
      <c r="AJ81" s="150"/>
      <c r="AK81" s="150"/>
      <c r="AL81" s="150"/>
      <c r="AM81" s="150"/>
      <c r="AN81" s="34"/>
      <c r="AO81" s="34"/>
      <c r="AP81" s="34"/>
      <c r="AV81" s="113"/>
    </row>
    <row r="82" spans="1:49" ht="13.5" hidden="1" customHeight="1" x14ac:dyDescent="0.15">
      <c r="D82" s="103"/>
      <c r="E82" s="103"/>
      <c r="F82" s="103"/>
      <c r="G82" s="103"/>
      <c r="H82" s="103"/>
      <c r="I82" s="103"/>
      <c r="J82" s="103"/>
      <c r="K82" s="34"/>
      <c r="M82" s="38"/>
      <c r="N82" s="109"/>
      <c r="O82" s="109"/>
      <c r="P82" s="109"/>
      <c r="Q82" s="109"/>
      <c r="S82" s="110"/>
      <c r="T82" s="110"/>
      <c r="U82" s="103"/>
      <c r="V82" s="112"/>
      <c r="W82" s="112"/>
      <c r="X82" s="112"/>
      <c r="Y82" s="112"/>
      <c r="Z82" s="112"/>
      <c r="AA82" s="103"/>
      <c r="AB82" s="150"/>
      <c r="AC82" s="150"/>
      <c r="AD82" s="150"/>
      <c r="AE82" s="150"/>
      <c r="AF82" s="150"/>
      <c r="AH82" s="115"/>
      <c r="AI82" s="150"/>
      <c r="AJ82" s="150"/>
      <c r="AK82" s="150"/>
      <c r="AL82" s="150"/>
      <c r="AM82" s="150"/>
      <c r="AN82" s="34"/>
      <c r="AO82" s="34"/>
      <c r="AP82" s="34"/>
      <c r="AV82" s="113"/>
    </row>
    <row r="83" spans="1:49" ht="13.5" hidden="1" customHeight="1" x14ac:dyDescent="0.15">
      <c r="D83" s="103"/>
      <c r="E83" s="103"/>
      <c r="F83" s="103"/>
      <c r="G83" s="103"/>
      <c r="H83" s="103"/>
      <c r="I83" s="103"/>
      <c r="J83" s="103"/>
      <c r="K83" s="34"/>
      <c r="M83" s="38"/>
      <c r="N83" s="109"/>
      <c r="O83" s="109"/>
      <c r="P83" s="109"/>
      <c r="Q83" s="109"/>
      <c r="S83" s="110"/>
      <c r="T83" s="110"/>
      <c r="U83" s="103"/>
      <c r="V83" s="112"/>
      <c r="W83" s="112"/>
      <c r="X83" s="112"/>
      <c r="Y83" s="112"/>
      <c r="Z83" s="112"/>
      <c r="AA83" s="103"/>
      <c r="AB83" s="150"/>
      <c r="AC83" s="150"/>
      <c r="AD83" s="150"/>
      <c r="AE83" s="150"/>
      <c r="AF83" s="150"/>
      <c r="AH83" s="115"/>
      <c r="AI83" s="150"/>
      <c r="AJ83" s="150"/>
      <c r="AK83" s="150"/>
      <c r="AL83" s="150"/>
      <c r="AM83" s="150"/>
      <c r="AN83" s="34"/>
      <c r="AO83" s="34"/>
      <c r="AP83" s="34"/>
      <c r="AV83" s="113"/>
    </row>
    <row r="84" spans="1:49" x14ac:dyDescent="0.15">
      <c r="A84" s="8"/>
      <c r="B84" s="8"/>
      <c r="C84" s="8"/>
      <c r="AC84" s="1"/>
      <c r="AD84" s="1"/>
      <c r="AE84" s="1"/>
      <c r="AF84" s="1"/>
      <c r="AG84" s="1"/>
      <c r="AH84" s="13"/>
      <c r="AI84" s="56"/>
      <c r="AJ84" s="56"/>
      <c r="AK84" s="56"/>
      <c r="AL84" s="56"/>
      <c r="AM84" s="56"/>
    </row>
    <row r="85" spans="1:49" x14ac:dyDescent="0.15">
      <c r="A85" s="8"/>
      <c r="B85" s="8"/>
      <c r="C85" s="8"/>
      <c r="E85" s="5" t="s">
        <v>25</v>
      </c>
      <c r="K85" s="3"/>
      <c r="AI85" s="3"/>
      <c r="AJ85" s="3"/>
      <c r="AW85" s="24" t="b">
        <v>1</v>
      </c>
    </row>
    <row r="86" spans="1:49" ht="25.5" customHeight="1" thickBot="1" x14ac:dyDescent="0.2">
      <c r="A86" s="8"/>
      <c r="B86" s="8"/>
      <c r="C86" s="8"/>
      <c r="D86" s="58" t="s">
        <v>112</v>
      </c>
      <c r="AI86" s="38"/>
      <c r="AJ86" s="38"/>
      <c r="AK86" s="38"/>
      <c r="AL86" s="38"/>
    </row>
    <row r="87" spans="1:49" ht="25.5" hidden="1" customHeight="1" thickBot="1" x14ac:dyDescent="0.2">
      <c r="A87" s="8"/>
      <c r="B87" s="8"/>
      <c r="C87" s="8"/>
      <c r="D87" s="58"/>
      <c r="AJ87" s="3"/>
    </row>
    <row r="88" spans="1:49" ht="20.25" customHeight="1" thickBot="1" x14ac:dyDescent="0.2">
      <c r="A88" s="9"/>
      <c r="G88" s="212"/>
      <c r="H88" s="212"/>
      <c r="M88" s="214" t="s">
        <v>124</v>
      </c>
      <c r="N88" s="214"/>
      <c r="O88" s="3"/>
      <c r="P88" s="46"/>
      <c r="Q88" s="210">
        <v>20</v>
      </c>
      <c r="R88" s="211"/>
      <c r="S88" s="3" t="str">
        <f>IF($AW$85=FALSE,"","％")</f>
        <v>％</v>
      </c>
      <c r="T88" s="8" t="s">
        <v>125</v>
      </c>
      <c r="U88" s="40"/>
      <c r="V88" s="40"/>
      <c r="W88" s="3"/>
      <c r="Y88" s="9"/>
      <c r="Z88" s="9"/>
      <c r="AA88" s="9"/>
      <c r="AB88" s="9"/>
      <c r="AC88" s="9"/>
      <c r="AD88" s="9"/>
      <c r="AE88" s="9"/>
      <c r="AF88" s="9"/>
      <c r="AG88" s="9"/>
      <c r="AH88" s="9"/>
      <c r="AI88" s="9"/>
      <c r="AJ88" s="9"/>
      <c r="AK88" s="9"/>
      <c r="AL88" s="9"/>
      <c r="AM88" s="9"/>
      <c r="AN88" s="9"/>
      <c r="AO88" s="9"/>
      <c r="AP88" s="9"/>
      <c r="AQ88" s="9"/>
      <c r="AR88" s="9"/>
      <c r="AS88" s="9"/>
    </row>
    <row r="89" spans="1:49" hidden="1" x14ac:dyDescent="0.15">
      <c r="A89" s="9"/>
      <c r="N89" s="1"/>
      <c r="P89" s="1"/>
      <c r="Y89" s="9"/>
      <c r="Z89" s="9"/>
      <c r="AA89" s="9"/>
      <c r="AB89" s="9"/>
      <c r="AC89" s="9"/>
      <c r="AD89" s="9"/>
      <c r="AE89" s="9"/>
      <c r="AF89" s="9"/>
      <c r="AG89" s="9"/>
      <c r="AH89" s="9"/>
      <c r="AI89" s="9"/>
      <c r="AJ89" s="9"/>
      <c r="AK89" s="9"/>
      <c r="AL89" s="9"/>
      <c r="AM89" s="9"/>
      <c r="AN89" s="9"/>
      <c r="AO89" s="9"/>
      <c r="AP89" s="9"/>
      <c r="AQ89" s="9"/>
      <c r="AR89" s="9"/>
      <c r="AS89" s="9"/>
    </row>
    <row r="90" spans="1:49" ht="4.5" hidden="1" customHeight="1" x14ac:dyDescent="0.15">
      <c r="A90" s="9"/>
      <c r="P90" s="1"/>
      <c r="V90" s="103"/>
      <c r="Y90" s="9"/>
      <c r="Z90" s="9"/>
      <c r="AA90" s="9"/>
      <c r="AB90" s="9"/>
      <c r="AC90" s="9"/>
      <c r="AD90" s="9"/>
      <c r="AE90" s="9"/>
      <c r="AF90" s="9"/>
      <c r="AG90" s="9"/>
      <c r="AH90" s="9"/>
      <c r="AI90" s="9"/>
      <c r="AJ90" s="9"/>
      <c r="AK90" s="9"/>
      <c r="AL90" s="9"/>
      <c r="AM90" s="9"/>
      <c r="AN90" s="9"/>
      <c r="AO90" s="9"/>
      <c r="AP90" s="9"/>
      <c r="AQ90" s="9"/>
      <c r="AR90" s="9"/>
      <c r="AS90" s="9"/>
    </row>
    <row r="91" spans="1:49" hidden="1" x14ac:dyDescent="0.15">
      <c r="A91" s="9"/>
      <c r="J91" s="203"/>
      <c r="K91" s="203"/>
      <c r="L91" s="203"/>
      <c r="M91" s="203"/>
      <c r="N91" s="203"/>
      <c r="P91" s="203"/>
      <c r="Q91" s="203"/>
      <c r="R91" s="203"/>
      <c r="AE91" s="9"/>
      <c r="AF91" s="9"/>
      <c r="AG91" s="9"/>
      <c r="AH91" s="9"/>
      <c r="AI91" s="9"/>
      <c r="AJ91" s="9"/>
      <c r="AK91" s="9"/>
      <c r="AL91" s="9"/>
      <c r="AM91" s="9"/>
      <c r="AN91" s="9"/>
      <c r="AO91" s="9"/>
      <c r="AP91" s="9"/>
      <c r="AQ91" s="9"/>
      <c r="AR91" s="9"/>
      <c r="AS91" s="9"/>
    </row>
    <row r="92" spans="1:49" ht="21" hidden="1" customHeight="1" x14ac:dyDescent="0.15">
      <c r="A92" s="9"/>
      <c r="J92" s="205"/>
      <c r="K92" s="205"/>
      <c r="L92" s="205"/>
      <c r="M92" s="205"/>
      <c r="N92" s="205"/>
      <c r="O92" s="109"/>
      <c r="P92" s="206"/>
      <c r="Q92" s="206"/>
      <c r="R92" s="206"/>
      <c r="T92" s="213"/>
      <c r="U92" s="213"/>
      <c r="V92" s="213"/>
      <c r="W92" s="213"/>
      <c r="X92" s="213"/>
      <c r="Y92" s="213"/>
      <c r="Z92" s="213"/>
      <c r="AA92" s="113"/>
      <c r="AB92" s="113"/>
      <c r="AC92" s="113"/>
      <c r="AE92" s="9"/>
      <c r="AF92" s="212" t="str">
        <f>IF(AW85=FALSE,"","～")</f>
        <v>～</v>
      </c>
      <c r="AG92" s="212"/>
      <c r="AH92" s="9"/>
      <c r="AI92" s="9"/>
      <c r="AJ92" s="9"/>
      <c r="AK92" s="9"/>
      <c r="AL92" s="9"/>
      <c r="AM92" s="9"/>
      <c r="AN92" s="9"/>
      <c r="AO92" s="9"/>
      <c r="AP92" s="9"/>
      <c r="AQ92" s="9"/>
      <c r="AR92" s="9"/>
      <c r="AS92" s="9"/>
    </row>
    <row r="93" spans="1:49" ht="13.5" hidden="1" customHeight="1" x14ac:dyDescent="0.15">
      <c r="A93" s="9"/>
      <c r="G93" s="212"/>
      <c r="H93" s="212"/>
      <c r="J93" s="109"/>
      <c r="K93" s="109"/>
      <c r="L93" s="109"/>
      <c r="M93" s="109"/>
      <c r="N93" s="109"/>
      <c r="O93" s="109"/>
      <c r="P93" s="110"/>
      <c r="Q93" s="110"/>
      <c r="R93" s="110"/>
      <c r="T93" s="111"/>
      <c r="U93" s="111"/>
      <c r="V93" s="111"/>
      <c r="W93" s="111"/>
      <c r="X93" s="111"/>
      <c r="Y93" s="111"/>
      <c r="Z93" s="111"/>
      <c r="AA93" s="154"/>
      <c r="AB93" s="116"/>
      <c r="AC93" s="116"/>
      <c r="AE93" s="9"/>
      <c r="AF93" s="9"/>
      <c r="AG93" s="9"/>
      <c r="AH93" s="9"/>
      <c r="AI93" s="9"/>
      <c r="AJ93" s="9"/>
      <c r="AK93" s="9"/>
      <c r="AL93" s="9"/>
      <c r="AM93" s="9"/>
      <c r="AN93" s="9"/>
      <c r="AO93" s="9"/>
      <c r="AP93" s="9"/>
      <c r="AQ93" s="9"/>
      <c r="AR93" s="9"/>
      <c r="AS93" s="9"/>
    </row>
    <row r="94" spans="1:49" ht="21" hidden="1" customHeight="1" x14ac:dyDescent="0.15">
      <c r="A94" s="9"/>
      <c r="J94" s="205"/>
      <c r="K94" s="205"/>
      <c r="L94" s="205"/>
      <c r="M94" s="205"/>
      <c r="N94" s="205"/>
      <c r="O94" s="109"/>
      <c r="P94" s="206"/>
      <c r="Q94" s="206"/>
      <c r="R94" s="206"/>
      <c r="T94" s="213"/>
      <c r="U94" s="213"/>
      <c r="V94" s="213"/>
      <c r="W94" s="213"/>
      <c r="X94" s="213"/>
      <c r="Y94" s="213"/>
      <c r="Z94" s="213"/>
      <c r="AA94" s="113"/>
      <c r="AB94" s="113"/>
      <c r="AC94" s="113"/>
      <c r="AE94" s="9"/>
      <c r="AF94" s="9"/>
      <c r="AG94" s="9"/>
      <c r="AH94" s="9"/>
      <c r="AI94" s="9"/>
      <c r="AJ94" s="9"/>
      <c r="AK94" s="9"/>
      <c r="AL94" s="9"/>
      <c r="AM94" s="9"/>
      <c r="AN94" s="9"/>
      <c r="AO94" s="9"/>
      <c r="AP94" s="9"/>
      <c r="AQ94" s="9"/>
      <c r="AR94" s="9"/>
      <c r="AS94" s="9"/>
    </row>
    <row r="95" spans="1:49" ht="12.75" hidden="1" customHeight="1" x14ac:dyDescent="0.15">
      <c r="A95" s="9"/>
      <c r="J95" s="109"/>
      <c r="K95" s="109"/>
      <c r="L95" s="109"/>
      <c r="M95" s="109"/>
      <c r="N95" s="109"/>
      <c r="O95" s="109"/>
      <c r="P95" s="110"/>
      <c r="Q95" s="110"/>
      <c r="R95" s="110"/>
      <c r="T95" s="111"/>
      <c r="U95" s="111"/>
      <c r="V95" s="111"/>
      <c r="W95" s="111"/>
      <c r="X95" s="111"/>
      <c r="Y95" s="111"/>
      <c r="Z95" s="111"/>
      <c r="AA95" s="153"/>
      <c r="AB95" s="153"/>
      <c r="AC95" s="153"/>
      <c r="AE95" s="9"/>
      <c r="AF95" s="9"/>
      <c r="AG95" s="9"/>
      <c r="AH95" s="9"/>
      <c r="AI95" s="9"/>
      <c r="AJ95" s="9"/>
      <c r="AK95" s="9"/>
      <c r="AL95" s="9"/>
      <c r="AM95" s="9"/>
      <c r="AN95" s="9"/>
      <c r="AO95" s="9"/>
      <c r="AP95" s="9"/>
      <c r="AQ95" s="9"/>
      <c r="AR95" s="9"/>
      <c r="AS95" s="9"/>
    </row>
    <row r="96" spans="1:49" ht="21" hidden="1" customHeight="1" x14ac:dyDescent="0.15">
      <c r="A96" s="9"/>
      <c r="J96" s="205"/>
      <c r="K96" s="205"/>
      <c r="L96" s="205"/>
      <c r="M96" s="205"/>
      <c r="N96" s="205"/>
      <c r="O96" s="103"/>
      <c r="P96" s="227"/>
      <c r="Q96" s="227"/>
      <c r="R96" s="227"/>
      <c r="T96" s="213"/>
      <c r="U96" s="213"/>
      <c r="V96" s="213"/>
      <c r="W96" s="213"/>
      <c r="X96" s="213"/>
      <c r="Y96" s="213"/>
      <c r="Z96" s="213"/>
      <c r="AA96" s="113"/>
      <c r="AB96" s="113"/>
      <c r="AC96" s="113"/>
      <c r="AE96" s="206" t="str">
        <f>IF(AW91=FALSE,"",IF(#REF!="","",$M$88/100))</f>
        <v/>
      </c>
      <c r="AF96" s="206"/>
      <c r="AG96" s="206"/>
      <c r="AH96" s="5" t="str">
        <f>IF(AW91=FALSE,"","=")</f>
        <v/>
      </c>
      <c r="AI96" s="213" t="str">
        <f>IF(AW91=FALSE,"",IF(ISERROR(ROUND(#REF!*AE96,0)),"",ROUND(#REF!*AE96,0)))</f>
        <v/>
      </c>
      <c r="AJ96" s="213"/>
      <c r="AK96" s="213"/>
      <c r="AL96" s="213"/>
      <c r="AM96" s="213"/>
      <c r="AN96" s="213"/>
      <c r="AO96" s="213"/>
      <c r="AP96" s="228" t="str">
        <f>IF(AW91=FALSE,"","下限額⑥")</f>
        <v/>
      </c>
      <c r="AQ96" s="228"/>
      <c r="AR96" s="228"/>
    </row>
    <row r="97" spans="1:50" ht="21" customHeight="1" x14ac:dyDescent="0.15">
      <c r="A97" s="9"/>
      <c r="J97" s="205" t="str">
        <f>IF(AW85=FALSE,"",IF(AW50=1,AF47,AF47))</f>
        <v/>
      </c>
      <c r="K97" s="205"/>
      <c r="L97" s="205"/>
      <c r="M97" s="205"/>
      <c r="N97" s="205"/>
      <c r="O97" s="109" t="str">
        <f>IF(AW85=FALSE,"","×")</f>
        <v>×</v>
      </c>
      <c r="P97" s="227">
        <f>IF(AW85=FALSE,"",IF(Q88="","",$Q$88/100))</f>
        <v>0.2</v>
      </c>
      <c r="Q97" s="227"/>
      <c r="R97" s="227"/>
      <c r="S97" s="5" t="str">
        <f>IF(AW85=FALSE,"","=")</f>
        <v>=</v>
      </c>
      <c r="T97" s="213" t="str">
        <f>IF(AW85=FALSE,"",IF(ISERROR(ROUND(J97*P97,0)),"",ROUND(J97*P97,0)))</f>
        <v/>
      </c>
      <c r="U97" s="213"/>
      <c r="V97" s="213"/>
      <c r="W97" s="213"/>
      <c r="X97" s="213"/>
      <c r="Y97" s="213"/>
      <c r="Z97" s="213"/>
      <c r="AA97" s="113" t="s">
        <v>25</v>
      </c>
      <c r="AB97" s="113"/>
      <c r="AC97" s="113"/>
      <c r="AE97" s="110"/>
      <c r="AF97" s="110"/>
      <c r="AG97" s="110"/>
      <c r="AI97" s="111"/>
      <c r="AJ97" s="111"/>
      <c r="AK97" s="111"/>
      <c r="AL97" s="111"/>
      <c r="AM97" s="111"/>
      <c r="AN97" s="111"/>
      <c r="AO97" s="111"/>
      <c r="AP97" s="113"/>
      <c r="AQ97" s="113"/>
      <c r="AR97" s="113"/>
    </row>
    <row r="98" spans="1:50" x14ac:dyDescent="0.15">
      <c r="A98" s="9"/>
      <c r="J98" s="109"/>
      <c r="K98" s="109"/>
      <c r="L98" s="109"/>
      <c r="M98" s="109"/>
      <c r="N98" s="109"/>
      <c r="O98" s="109"/>
      <c r="P98" s="110"/>
      <c r="Q98" s="110"/>
      <c r="R98" s="110"/>
      <c r="T98" s="111"/>
      <c r="U98" s="111"/>
      <c r="V98" s="111"/>
      <c r="W98" s="111"/>
      <c r="X98" s="111"/>
      <c r="Y98" s="111"/>
      <c r="Z98" s="111"/>
      <c r="AA98" s="50"/>
      <c r="AE98" s="110"/>
      <c r="AF98" s="110"/>
      <c r="AG98" s="110"/>
      <c r="AI98" s="111"/>
      <c r="AJ98" s="111"/>
      <c r="AK98" s="111"/>
      <c r="AL98" s="111"/>
      <c r="AM98" s="111"/>
      <c r="AN98" s="111"/>
      <c r="AO98" s="111"/>
      <c r="AP98" s="113"/>
      <c r="AQ98" s="113"/>
      <c r="AR98" s="113"/>
    </row>
    <row r="99" spans="1:50" hidden="1" x14ac:dyDescent="0.15">
      <c r="A99" s="9"/>
      <c r="P99" s="1"/>
      <c r="Y99" s="109"/>
      <c r="Z99" s="109"/>
      <c r="AA99" s="109"/>
      <c r="AB99" s="109"/>
      <c r="AC99" s="109"/>
      <c r="AD99" s="109"/>
      <c r="AE99" s="110"/>
      <c r="AF99" s="110"/>
      <c r="AG99" s="110"/>
      <c r="AI99" s="111"/>
      <c r="AJ99" s="111"/>
      <c r="AK99" s="111"/>
      <c r="AL99" s="111"/>
      <c r="AM99" s="111"/>
      <c r="AN99" s="111"/>
      <c r="AO99" s="111"/>
      <c r="AP99" s="113"/>
      <c r="AQ99" s="113"/>
      <c r="AR99" s="113"/>
    </row>
    <row r="100" spans="1:50" x14ac:dyDescent="0.15">
      <c r="A100" s="9"/>
      <c r="P100" s="1"/>
      <c r="T100" s="16"/>
    </row>
    <row r="101" spans="1:50" x14ac:dyDescent="0.15">
      <c r="A101" s="9"/>
      <c r="E101" s="116" t="s">
        <v>26</v>
      </c>
      <c r="M101" s="3"/>
      <c r="AW101" s="24" t="b">
        <v>1</v>
      </c>
    </row>
    <row r="102" spans="1:50" ht="28.5" customHeight="1" x14ac:dyDescent="0.15">
      <c r="A102" s="9"/>
      <c r="D102" s="209" t="s">
        <v>113</v>
      </c>
      <c r="E102" s="209"/>
      <c r="F102" s="209"/>
      <c r="G102" s="209"/>
      <c r="H102" s="209"/>
      <c r="I102" s="209"/>
      <c r="J102" s="209"/>
      <c r="K102" s="209"/>
      <c r="L102" s="209"/>
      <c r="M102" s="209"/>
      <c r="N102" s="209"/>
      <c r="O102" s="209"/>
      <c r="P102" s="209"/>
      <c r="Q102" s="209"/>
      <c r="R102" s="209"/>
      <c r="S102" s="209"/>
      <c r="T102" s="209"/>
      <c r="U102" s="209"/>
    </row>
    <row r="103" spans="1:50" hidden="1" x14ac:dyDescent="0.15">
      <c r="A103" s="9"/>
      <c r="D103" s="209"/>
      <c r="E103" s="209"/>
      <c r="F103" s="209"/>
      <c r="G103" s="209"/>
      <c r="H103" s="209"/>
      <c r="I103" s="209"/>
      <c r="J103" s="209"/>
      <c r="K103" s="209"/>
      <c r="L103" s="209"/>
      <c r="M103" s="209"/>
      <c r="N103" s="209"/>
      <c r="O103" s="209"/>
      <c r="P103" s="209"/>
      <c r="Q103" s="209"/>
      <c r="R103" s="209"/>
      <c r="S103" s="209"/>
      <c r="T103" s="209"/>
      <c r="U103" s="209"/>
    </row>
    <row r="104" spans="1:50" x14ac:dyDescent="0.15">
      <c r="A104" s="9"/>
      <c r="D104" s="123"/>
      <c r="E104" s="123"/>
      <c r="F104" s="123"/>
      <c r="G104" s="123"/>
      <c r="H104" s="123"/>
      <c r="I104" s="123"/>
      <c r="J104" s="123"/>
      <c r="K104" s="123"/>
      <c r="L104" s="123"/>
      <c r="M104" s="241"/>
      <c r="N104" s="241"/>
      <c r="O104" s="241"/>
      <c r="P104" s="45"/>
      <c r="Q104" s="241" t="s">
        <v>126</v>
      </c>
      <c r="R104" s="241"/>
      <c r="S104" s="241"/>
      <c r="T104" s="123"/>
      <c r="Y104" s="120"/>
      <c r="Z104" s="120"/>
      <c r="AA104" s="120"/>
      <c r="AB104" s="59"/>
      <c r="AC104" s="120"/>
      <c r="AD104" s="120"/>
      <c r="AE104" s="120"/>
      <c r="AW104" s="24">
        <v>1</v>
      </c>
      <c r="AX104" s="24" t="s">
        <v>100</v>
      </c>
    </row>
    <row r="105" spans="1:50" ht="17.25" x14ac:dyDescent="0.15">
      <c r="A105" s="9"/>
      <c r="G105" s="212"/>
      <c r="H105" s="212"/>
      <c r="J105" s="5" t="str">
        <f>IF(AW101=FALSE,"","時間単価")</f>
        <v>時間単価</v>
      </c>
      <c r="M105" s="240"/>
      <c r="N105" s="240"/>
      <c r="O105" s="240"/>
      <c r="P105" s="36"/>
      <c r="Q105" s="226">
        <f ca="1">IF(AW101=FALSE,"",INDEX(INDIRECT(VLOOKUP(AW5,AW104:AX113,2,FALSE)),2,2))</f>
        <v>2300</v>
      </c>
      <c r="R105" s="226"/>
      <c r="S105" s="226"/>
      <c r="T105" s="55"/>
      <c r="AW105" s="24">
        <v>2</v>
      </c>
      <c r="AX105" s="24" t="s">
        <v>101</v>
      </c>
    </row>
    <row r="106" spans="1:50" ht="5.25" customHeight="1" x14ac:dyDescent="0.15">
      <c r="A106" s="8"/>
      <c r="B106" s="8"/>
      <c r="C106" s="8"/>
      <c r="F106" s="116"/>
      <c r="G106" s="116"/>
      <c r="H106" s="116"/>
      <c r="P106" s="32"/>
      <c r="Q106" s="32"/>
      <c r="R106" s="159"/>
      <c r="S106" s="32"/>
      <c r="AW106" s="24">
        <v>3</v>
      </c>
      <c r="AX106" s="24" t="s">
        <v>102</v>
      </c>
    </row>
    <row r="107" spans="1:50" ht="17.25" x14ac:dyDescent="0.15">
      <c r="A107" s="8"/>
      <c r="B107" s="8"/>
      <c r="C107" s="8"/>
      <c r="J107" s="5" t="str">
        <f>IF(AW101=FALSE,"","キロ単価")</f>
        <v>キロ単価</v>
      </c>
      <c r="M107" s="240"/>
      <c r="N107" s="240"/>
      <c r="O107" s="240"/>
      <c r="P107" s="36"/>
      <c r="Q107" s="226">
        <f ca="1">IF(AW101=FALSE,"",INDEX(INDIRECT(VLOOKUP(AW5,AW104:AX113,2,FALSE)),1,2))</f>
        <v>30</v>
      </c>
      <c r="R107" s="226"/>
      <c r="S107" s="226"/>
      <c r="T107" s="8"/>
      <c r="X107" s="8"/>
      <c r="Y107" s="8"/>
      <c r="Z107" s="8"/>
      <c r="AA107" s="8"/>
      <c r="AB107" s="8"/>
      <c r="AC107" s="8"/>
      <c r="AD107" s="8"/>
      <c r="AH107" s="38"/>
      <c r="AW107" s="24">
        <v>4</v>
      </c>
      <c r="AX107" s="24" t="s">
        <v>103</v>
      </c>
    </row>
    <row r="108" spans="1:50" x14ac:dyDescent="0.15">
      <c r="N108" s="13"/>
      <c r="O108" s="13"/>
      <c r="P108" s="13"/>
      <c r="R108" s="115"/>
      <c r="S108" s="1"/>
      <c r="AJ108" s="13"/>
      <c r="AK108" s="13"/>
      <c r="AL108" s="13"/>
      <c r="AM108" s="13"/>
      <c r="AN108" s="13"/>
      <c r="AO108" s="13"/>
      <c r="AP108" s="13"/>
      <c r="AQ108" s="13"/>
      <c r="AR108" s="13"/>
      <c r="AT108" s="38"/>
      <c r="AW108" s="24">
        <v>5</v>
      </c>
      <c r="AX108" s="24" t="s">
        <v>104</v>
      </c>
    </row>
    <row r="109" spans="1:50" x14ac:dyDescent="0.15">
      <c r="J109" s="203" t="str">
        <f>IF(AW101=FALSE,"","時間単価")</f>
        <v>時間単価</v>
      </c>
      <c r="K109" s="203"/>
      <c r="L109" s="203"/>
      <c r="M109" s="203" t="str">
        <f>IF(AW101=FALSE,"","総拘束時間")</f>
        <v>総拘束時間</v>
      </c>
      <c r="N109" s="203"/>
      <c r="O109" s="203"/>
      <c r="P109" s="203"/>
      <c r="R109" s="203" t="str">
        <f>IF(AW101=FALSE,"","キロ単価")</f>
        <v>キロ単価</v>
      </c>
      <c r="S109" s="203"/>
      <c r="T109" s="203"/>
      <c r="U109" s="203"/>
      <c r="W109" s="203" t="str">
        <f>IF(AW101=FALSE,"","走行距離")</f>
        <v>走行距離</v>
      </c>
      <c r="X109" s="203"/>
      <c r="Y109" s="203"/>
      <c r="AJ109" s="1"/>
      <c r="AK109" s="1"/>
      <c r="AL109" s="1"/>
      <c r="AM109" s="1"/>
      <c r="AN109" s="1"/>
      <c r="AO109" s="1"/>
      <c r="AP109" s="1"/>
      <c r="AQ109" s="1"/>
      <c r="AR109" s="1"/>
      <c r="AW109" s="24">
        <v>6</v>
      </c>
      <c r="AX109" s="24" t="s">
        <v>105</v>
      </c>
    </row>
    <row r="110" spans="1:50" ht="21" hidden="1" customHeight="1" x14ac:dyDescent="0.15">
      <c r="J110" s="205"/>
      <c r="K110" s="205"/>
      <c r="L110" s="205"/>
      <c r="N110" s="247"/>
      <c r="O110" s="247"/>
      <c r="P110" s="247"/>
      <c r="R110" s="205"/>
      <c r="S110" s="205"/>
      <c r="T110" s="205"/>
      <c r="U110" s="205"/>
      <c r="W110" s="229"/>
      <c r="X110" s="229"/>
      <c r="Y110" s="229"/>
      <c r="AA110" s="205"/>
      <c r="AB110" s="205"/>
      <c r="AC110" s="205"/>
      <c r="AD110" s="205"/>
      <c r="AE110" s="205"/>
      <c r="AF110" s="205"/>
      <c r="AG110" s="205"/>
      <c r="AH110" s="8"/>
      <c r="AJ110" s="1"/>
      <c r="AK110" s="1"/>
      <c r="AL110" s="1"/>
      <c r="AM110" s="1"/>
      <c r="AN110" s="1"/>
      <c r="AO110" s="1"/>
      <c r="AP110" s="1"/>
      <c r="AQ110" s="1"/>
      <c r="AR110" s="1"/>
      <c r="AW110" s="24">
        <v>7</v>
      </c>
      <c r="AX110" s="24" t="s">
        <v>106</v>
      </c>
    </row>
    <row r="111" spans="1:50" x14ac:dyDescent="0.15">
      <c r="N111" s="13"/>
      <c r="O111" s="13"/>
      <c r="P111" s="13"/>
      <c r="R111" s="115"/>
      <c r="S111" s="1"/>
      <c r="AJ111" s="13"/>
      <c r="AK111" s="13"/>
      <c r="AL111" s="13"/>
      <c r="AM111" s="13"/>
      <c r="AN111" s="13"/>
      <c r="AO111" s="13"/>
      <c r="AP111" s="13"/>
      <c r="AQ111" s="13"/>
      <c r="AR111" s="13"/>
      <c r="AW111" s="24">
        <v>8</v>
      </c>
      <c r="AX111" s="24" t="s">
        <v>107</v>
      </c>
    </row>
    <row r="112" spans="1:50" x14ac:dyDescent="0.15">
      <c r="J112" s="205">
        <f ca="1">IF(AW101=FALSE,"",+$Q$105)</f>
        <v>2300</v>
      </c>
      <c r="K112" s="205"/>
      <c r="L112" s="205"/>
      <c r="M112" s="5" t="str">
        <f>IF(AW101=FALSE,"","×")</f>
        <v>×</v>
      </c>
      <c r="N112" s="247">
        <f>IF(AW101=FALSE,"",+AC32)</f>
        <v>0</v>
      </c>
      <c r="O112" s="247"/>
      <c r="P112" s="247"/>
      <c r="Q112" s="5" t="str">
        <f>IF(AW101=FALSE,"","＋")</f>
        <v>＋</v>
      </c>
      <c r="R112" s="205">
        <f ca="1">IF(AW101=FALSE,"",+Q107)</f>
        <v>30</v>
      </c>
      <c r="S112" s="205"/>
      <c r="T112" s="205"/>
      <c r="U112" s="205"/>
      <c r="V112" s="5" t="str">
        <f>IF(AW101=FALSE,"","×")</f>
        <v>×</v>
      </c>
      <c r="W112" s="229">
        <f>IF(AW101=FALSE,"",IF($T$38="",$N$38,$T$38))</f>
        <v>100</v>
      </c>
      <c r="X112" s="229"/>
      <c r="Y112" s="229"/>
      <c r="Z112" s="5" t="str">
        <f>IF(AW101=FALSE,"","＝")</f>
        <v>＝</v>
      </c>
      <c r="AA112" s="205">
        <f ca="1">IF(AW101=FALSE,"",IF(OR($N$38=""),"",ROUND(+$J$112*$N$112,0)+ROUND($R$112*$W$112,0)))</f>
        <v>3000</v>
      </c>
      <c r="AB112" s="205"/>
      <c r="AC112" s="205"/>
      <c r="AD112" s="205"/>
      <c r="AE112" s="205"/>
      <c r="AF112" s="205"/>
      <c r="AG112" s="205"/>
      <c r="AH112" s="8" t="str">
        <f>IF(AW101=FALSE,"","交替運転者配置料金")</f>
        <v>交替運転者配置料金</v>
      </c>
      <c r="AJ112" s="13"/>
      <c r="AK112" s="13"/>
      <c r="AL112" s="13"/>
      <c r="AM112" s="13"/>
      <c r="AN112" s="13"/>
      <c r="AO112" s="13"/>
      <c r="AP112" s="13"/>
      <c r="AQ112" s="13"/>
      <c r="AR112" s="13"/>
      <c r="AW112" s="24">
        <v>9</v>
      </c>
      <c r="AX112" s="24" t="s">
        <v>109</v>
      </c>
    </row>
    <row r="113" spans="2:55" ht="18.75" x14ac:dyDescent="0.15">
      <c r="N113" s="6"/>
      <c r="O113" s="6"/>
      <c r="P113" s="6"/>
      <c r="R113" s="152"/>
      <c r="S113" s="11"/>
      <c r="AJ113" s="6"/>
      <c r="AK113" s="6"/>
      <c r="AL113" s="6"/>
      <c r="AM113" s="6"/>
      <c r="AN113" s="6"/>
      <c r="AO113" s="6"/>
      <c r="AP113" s="6"/>
      <c r="AQ113" s="6"/>
      <c r="AR113" s="6"/>
      <c r="AW113" s="24">
        <v>10</v>
      </c>
      <c r="AX113" s="24" t="s">
        <v>108</v>
      </c>
    </row>
    <row r="114" spans="2:55" hidden="1" x14ac:dyDescent="0.15">
      <c r="G114" s="38"/>
      <c r="H114" s="38"/>
      <c r="I114" s="38"/>
      <c r="J114" s="38"/>
      <c r="K114" s="38"/>
      <c r="R114" s="203"/>
      <c r="S114" s="203"/>
      <c r="T114" s="203"/>
      <c r="U114" s="203"/>
      <c r="V114" s="203"/>
      <c r="X114" s="203"/>
      <c r="Y114" s="203"/>
      <c r="Z114" s="203"/>
      <c r="AA114" s="203"/>
      <c r="AB114" s="203"/>
      <c r="AD114" s="203"/>
      <c r="AE114" s="203"/>
      <c r="AF114" s="203"/>
      <c r="AG114" s="203"/>
      <c r="AH114" s="203"/>
      <c r="AI114" s="203"/>
      <c r="AK114" s="203"/>
      <c r="AL114" s="203"/>
      <c r="AM114" s="203"/>
      <c r="AN114" s="203"/>
      <c r="AO114" s="203"/>
      <c r="AP114" s="203"/>
      <c r="AQ114" s="203"/>
    </row>
    <row r="115" spans="2:55" ht="13.5" hidden="1" customHeight="1" x14ac:dyDescent="0.15">
      <c r="B115" s="246"/>
      <c r="C115" s="246"/>
      <c r="D115" s="246"/>
      <c r="E115" s="246"/>
      <c r="F115" s="38"/>
      <c r="G115" s="38"/>
      <c r="H115" s="204"/>
      <c r="I115" s="204"/>
      <c r="J115" s="204"/>
      <c r="K115" s="204"/>
      <c r="L115" s="230"/>
      <c r="M115" s="230"/>
      <c r="N115" s="230"/>
      <c r="O115" s="230"/>
      <c r="P115" s="230"/>
      <c r="Q115" s="109"/>
      <c r="R115" s="203"/>
      <c r="S115" s="203"/>
      <c r="T115" s="203"/>
      <c r="U115" s="203"/>
      <c r="V115" s="203"/>
      <c r="X115" s="203"/>
      <c r="Y115" s="203"/>
      <c r="Z115" s="203"/>
      <c r="AA115" s="203"/>
      <c r="AB115" s="203"/>
      <c r="AD115" s="203"/>
      <c r="AE115" s="203"/>
      <c r="AF115" s="203"/>
      <c r="AG115" s="203"/>
      <c r="AH115" s="203"/>
      <c r="AI115" s="203"/>
      <c r="AK115" s="203"/>
      <c r="AL115" s="203"/>
      <c r="AM115" s="203"/>
      <c r="AN115" s="203"/>
      <c r="AO115" s="203"/>
      <c r="AP115" s="203"/>
      <c r="AQ115" s="203"/>
      <c r="AR115" s="109"/>
      <c r="AS115" s="109"/>
    </row>
    <row r="116" spans="2:55" ht="5.25" hidden="1" customHeight="1" x14ac:dyDescent="0.15">
      <c r="B116" s="246"/>
      <c r="C116" s="246"/>
      <c r="D116" s="246"/>
      <c r="E116" s="246"/>
      <c r="F116" s="106"/>
      <c r="G116" s="106"/>
      <c r="H116" s="106"/>
      <c r="I116" s="106"/>
      <c r="J116" s="106"/>
      <c r="K116" s="106"/>
    </row>
    <row r="117" spans="2:55" hidden="1" x14ac:dyDescent="0.15">
      <c r="F117" s="204"/>
      <c r="G117" s="204"/>
      <c r="H117" s="204"/>
      <c r="I117" s="204"/>
      <c r="J117" s="204"/>
      <c r="K117" s="204"/>
      <c r="L117" s="221"/>
      <c r="M117" s="221"/>
      <c r="N117" s="221"/>
      <c r="O117" s="221"/>
      <c r="P117" s="221"/>
      <c r="Q117" s="39"/>
      <c r="R117" s="203"/>
      <c r="S117" s="203"/>
      <c r="T117" s="203"/>
      <c r="U117" s="203"/>
      <c r="V117" s="203"/>
      <c r="X117" s="203"/>
      <c r="Y117" s="203"/>
      <c r="Z117" s="203"/>
      <c r="AA117" s="203"/>
      <c r="AB117" s="203"/>
      <c r="AC117" s="38"/>
      <c r="AD117" s="203"/>
      <c r="AE117" s="203"/>
      <c r="AF117" s="203"/>
      <c r="AG117" s="203"/>
      <c r="AH117" s="203"/>
      <c r="AI117" s="203"/>
      <c r="AJ117" s="38"/>
      <c r="AK117" s="203"/>
      <c r="AL117" s="203"/>
      <c r="AM117" s="203"/>
      <c r="AN117" s="203"/>
      <c r="AO117" s="203"/>
      <c r="AP117" s="203"/>
      <c r="AQ117" s="203"/>
      <c r="AR117" s="60"/>
      <c r="AS117" s="17"/>
      <c r="AW117" s="169"/>
    </row>
    <row r="118" spans="2:55" ht="5.25" hidden="1" customHeight="1" thickBot="1" x14ac:dyDescent="0.2">
      <c r="F118" s="106"/>
      <c r="G118" s="106"/>
      <c r="H118" s="106"/>
      <c r="I118" s="106"/>
      <c r="J118" s="106"/>
      <c r="K118" s="106"/>
      <c r="L118" s="61"/>
      <c r="M118" s="61"/>
      <c r="N118" s="61"/>
      <c r="O118" s="61"/>
      <c r="P118" s="61"/>
      <c r="AQ118" s="1"/>
    </row>
    <row r="119" spans="2:55" ht="6.75" hidden="1" customHeight="1" thickTop="1" x14ac:dyDescent="0.15">
      <c r="F119" s="217"/>
      <c r="G119" s="217"/>
      <c r="H119" s="217"/>
      <c r="I119" s="217"/>
      <c r="J119" s="217"/>
      <c r="K119" s="217"/>
      <c r="L119" s="219"/>
      <c r="M119" s="219"/>
      <c r="N119" s="219"/>
      <c r="O119" s="219"/>
      <c r="P119" s="219"/>
      <c r="R119" s="222"/>
      <c r="S119" s="222"/>
      <c r="T119" s="222"/>
      <c r="U119" s="222"/>
      <c r="V119" s="222"/>
      <c r="W119" s="117"/>
      <c r="X119" s="224"/>
      <c r="Y119" s="224"/>
      <c r="Z119" s="224"/>
      <c r="AA119" s="224"/>
      <c r="AB119" s="224"/>
      <c r="AC119" s="117"/>
      <c r="AD119" s="224"/>
      <c r="AE119" s="224"/>
      <c r="AF119" s="224"/>
      <c r="AG119" s="224"/>
      <c r="AH119" s="224"/>
      <c r="AI119" s="224"/>
      <c r="AJ119" s="117"/>
      <c r="AK119" s="224"/>
      <c r="AL119" s="224"/>
      <c r="AM119" s="224"/>
      <c r="AN119" s="224"/>
      <c r="AO119" s="224"/>
      <c r="AP119" s="224"/>
      <c r="AQ119" s="7"/>
    </row>
    <row r="120" spans="2:55" ht="13.5" hidden="1" customHeight="1" x14ac:dyDescent="0.15">
      <c r="F120" s="218"/>
      <c r="G120" s="218"/>
      <c r="H120" s="218"/>
      <c r="I120" s="218"/>
      <c r="J120" s="218"/>
      <c r="K120" s="218"/>
      <c r="L120" s="220"/>
      <c r="M120" s="220"/>
      <c r="N120" s="220"/>
      <c r="O120" s="220"/>
      <c r="P120" s="220"/>
      <c r="Q120" s="62"/>
      <c r="R120" s="223"/>
      <c r="S120" s="223"/>
      <c r="T120" s="223"/>
      <c r="U120" s="223"/>
      <c r="V120" s="223"/>
      <c r="W120" s="4"/>
      <c r="X120" s="225"/>
      <c r="Y120" s="225"/>
      <c r="Z120" s="225"/>
      <c r="AA120" s="225"/>
      <c r="AB120" s="225"/>
      <c r="AC120" s="4"/>
      <c r="AD120" s="225"/>
      <c r="AE120" s="225"/>
      <c r="AF120" s="225"/>
      <c r="AG120" s="225"/>
      <c r="AH120" s="225"/>
      <c r="AI120" s="225"/>
      <c r="AJ120" s="4"/>
      <c r="AK120" s="225"/>
      <c r="AL120" s="225"/>
      <c r="AM120" s="225"/>
      <c r="AN120" s="225"/>
      <c r="AO120" s="225"/>
      <c r="AP120" s="225"/>
      <c r="AQ120" s="4"/>
      <c r="AR120" s="64"/>
      <c r="AS120" s="65"/>
      <c r="AT120" s="65"/>
    </row>
    <row r="122" spans="2:55" x14ac:dyDescent="0.15">
      <c r="F122" s="38"/>
      <c r="G122" s="38"/>
      <c r="H122" s="38"/>
      <c r="I122" s="38"/>
      <c r="J122" s="38"/>
      <c r="K122" s="38"/>
      <c r="L122" s="38"/>
      <c r="M122" s="38"/>
      <c r="N122" s="38"/>
      <c r="O122" s="38"/>
      <c r="P122" s="38"/>
      <c r="Q122" s="38"/>
      <c r="R122" s="203"/>
      <c r="S122" s="203"/>
      <c r="T122" s="203"/>
      <c r="U122" s="203"/>
      <c r="V122" s="203"/>
      <c r="X122" s="203"/>
      <c r="Y122" s="203"/>
      <c r="Z122" s="203"/>
      <c r="AA122" s="203"/>
      <c r="AB122" s="203"/>
      <c r="AD122" s="203"/>
      <c r="AE122" s="203"/>
      <c r="AF122" s="203"/>
      <c r="AG122" s="203"/>
      <c r="AH122" s="203"/>
      <c r="AI122" s="203"/>
      <c r="AK122" s="203"/>
      <c r="AL122" s="203"/>
      <c r="AM122" s="203"/>
      <c r="AN122" s="203"/>
      <c r="AO122" s="203"/>
      <c r="AP122" s="203"/>
      <c r="AQ122" s="203"/>
      <c r="AV122" s="20"/>
      <c r="BA122" s="144"/>
    </row>
    <row r="123" spans="2:55" ht="13.5" customHeight="1" x14ac:dyDescent="0.15">
      <c r="B123" s="246" t="s">
        <v>123</v>
      </c>
      <c r="C123" s="246"/>
      <c r="D123" s="246"/>
      <c r="E123" s="246"/>
      <c r="F123" s="38"/>
      <c r="G123" s="38"/>
      <c r="H123" s="204" t="s">
        <v>43</v>
      </c>
      <c r="I123" s="204"/>
      <c r="J123" s="204"/>
      <c r="K123" s="204"/>
      <c r="L123" s="230" t="str">
        <f ca="1">IF(ISERROR(+R$127+X$127+AD$127+AK$127),"",+R$127+X$127+AD$127+AK$127)</f>
        <v/>
      </c>
      <c r="M123" s="230"/>
      <c r="N123" s="230"/>
      <c r="O123" s="230"/>
      <c r="P123" s="230"/>
      <c r="Q123" s="38"/>
      <c r="R123" s="203" t="s">
        <v>1</v>
      </c>
      <c r="S123" s="203"/>
      <c r="T123" s="203"/>
      <c r="U123" s="203"/>
      <c r="V123" s="203"/>
      <c r="W123" s="5" t="s">
        <v>99</v>
      </c>
      <c r="X123" s="203" t="s">
        <v>24</v>
      </c>
      <c r="Y123" s="203"/>
      <c r="Z123" s="203"/>
      <c r="AA123" s="203"/>
      <c r="AB123" s="203"/>
      <c r="AC123" s="5" t="s">
        <v>99</v>
      </c>
      <c r="AD123" s="203" t="s">
        <v>25</v>
      </c>
      <c r="AE123" s="203"/>
      <c r="AF123" s="203"/>
      <c r="AG123" s="203"/>
      <c r="AH123" s="203"/>
      <c r="AI123" s="203"/>
      <c r="AJ123" s="5" t="s">
        <v>99</v>
      </c>
      <c r="AK123" s="203" t="s">
        <v>26</v>
      </c>
      <c r="AL123" s="203"/>
      <c r="AM123" s="203"/>
      <c r="AN123" s="203"/>
      <c r="AO123" s="203"/>
      <c r="AP123" s="203"/>
      <c r="AQ123" s="203"/>
      <c r="AR123" s="109"/>
      <c r="AS123" s="109"/>
      <c r="AT123" s="109"/>
      <c r="AU123" s="109"/>
      <c r="AV123" s="118"/>
      <c r="AX123" s="170"/>
      <c r="AY123" s="170"/>
      <c r="AZ123" s="170"/>
      <c r="BA123" s="170"/>
    </row>
    <row r="124" spans="2:55" ht="5.25" customHeight="1" x14ac:dyDescent="0.15">
      <c r="B124" s="246"/>
      <c r="C124" s="246"/>
      <c r="D124" s="246"/>
      <c r="E124" s="246"/>
      <c r="F124" s="106"/>
      <c r="G124" s="106"/>
      <c r="H124" s="106"/>
      <c r="I124" s="106"/>
      <c r="J124" s="106"/>
      <c r="K124" s="106"/>
      <c r="Q124" s="106"/>
      <c r="R124" s="203"/>
      <c r="S124" s="203"/>
      <c r="T124" s="203"/>
      <c r="U124" s="203"/>
      <c r="V124" s="203"/>
      <c r="X124" s="203"/>
      <c r="Y124" s="203"/>
      <c r="Z124" s="203"/>
      <c r="AA124" s="203"/>
      <c r="AB124" s="203"/>
      <c r="AD124" s="203"/>
      <c r="AE124" s="203"/>
      <c r="AF124" s="203"/>
      <c r="AG124" s="203"/>
      <c r="AH124" s="203"/>
      <c r="AI124" s="203"/>
      <c r="AK124" s="203"/>
      <c r="AL124" s="203"/>
      <c r="AM124" s="203"/>
      <c r="AN124" s="203"/>
      <c r="AO124" s="203"/>
      <c r="AP124" s="203"/>
      <c r="AQ124" s="203"/>
    </row>
    <row r="125" spans="2:55" x14ac:dyDescent="0.15">
      <c r="F125" s="204" t="s">
        <v>42</v>
      </c>
      <c r="G125" s="204"/>
      <c r="H125" s="204"/>
      <c r="I125" s="204"/>
      <c r="J125" s="204"/>
      <c r="K125" s="204"/>
      <c r="L125" s="221" t="str">
        <f ca="1">IF(ISERROR(ROUND(+L123*0.1,0)),"",ROUND(+L123*0.1,0))</f>
        <v/>
      </c>
      <c r="M125" s="221"/>
      <c r="N125" s="221"/>
      <c r="O125" s="221"/>
      <c r="P125" s="221"/>
      <c r="Q125" s="106"/>
      <c r="R125" s="203"/>
      <c r="S125" s="203"/>
      <c r="T125" s="203"/>
      <c r="U125" s="203"/>
      <c r="V125" s="203"/>
      <c r="X125" s="203"/>
      <c r="Y125" s="203"/>
      <c r="Z125" s="203"/>
      <c r="AA125" s="203"/>
      <c r="AB125" s="203"/>
      <c r="AC125" s="38"/>
      <c r="AD125" s="203"/>
      <c r="AE125" s="203"/>
      <c r="AF125" s="203"/>
      <c r="AG125" s="203"/>
      <c r="AH125" s="203"/>
      <c r="AI125" s="203"/>
      <c r="AK125" s="203"/>
      <c r="AL125" s="203"/>
      <c r="AM125" s="203"/>
      <c r="AN125" s="203"/>
      <c r="AO125" s="203"/>
      <c r="AP125" s="203"/>
      <c r="AQ125" s="203"/>
      <c r="AR125" s="39"/>
      <c r="AS125" s="17"/>
      <c r="AT125" s="17"/>
      <c r="AU125" s="17"/>
      <c r="AV125" s="22"/>
      <c r="AW125" s="169"/>
      <c r="AX125" s="169"/>
      <c r="AY125" s="169"/>
      <c r="AZ125" s="169"/>
      <c r="BA125" s="169"/>
      <c r="BB125" s="169"/>
      <c r="BC125" s="169"/>
    </row>
    <row r="126" spans="2:55" ht="5.25" customHeight="1" thickBot="1" x14ac:dyDescent="0.2">
      <c r="F126" s="106"/>
      <c r="G126" s="106"/>
      <c r="H126" s="106"/>
      <c r="I126" s="106"/>
      <c r="J126" s="106"/>
      <c r="K126" s="106"/>
      <c r="L126" s="61"/>
      <c r="M126" s="61"/>
      <c r="N126" s="61"/>
      <c r="O126" s="61"/>
      <c r="P126" s="61"/>
      <c r="Q126" s="106"/>
      <c r="AQ126" s="1"/>
    </row>
    <row r="127" spans="2:55" ht="6.75" customHeight="1" thickTop="1" x14ac:dyDescent="0.15">
      <c r="F127" s="217" t="s">
        <v>44</v>
      </c>
      <c r="G127" s="217"/>
      <c r="H127" s="217"/>
      <c r="I127" s="217"/>
      <c r="J127" s="217"/>
      <c r="K127" s="217"/>
      <c r="L127" s="219" t="str">
        <f ca="1">IF(ISERROR(+L123+L125),"",+L123+L125)</f>
        <v/>
      </c>
      <c r="M127" s="219"/>
      <c r="N127" s="219"/>
      <c r="O127" s="219"/>
      <c r="P127" s="219"/>
      <c r="Q127" s="104"/>
      <c r="R127" s="222" t="str">
        <f>$AF$47</f>
        <v/>
      </c>
      <c r="S127" s="222"/>
      <c r="T127" s="222"/>
      <c r="U127" s="222"/>
      <c r="V127" s="222"/>
      <c r="W127" s="117" t="s">
        <v>15</v>
      </c>
      <c r="X127" s="224">
        <f>IF(AQ32=0,0,AI68)</f>
        <v>0</v>
      </c>
      <c r="Y127" s="224"/>
      <c r="Z127" s="224"/>
      <c r="AA127" s="224"/>
      <c r="AB127" s="224"/>
      <c r="AC127" s="117" t="s">
        <v>15</v>
      </c>
      <c r="AD127" s="224" t="str">
        <f>IF(AW85=FALSE,0,T97)</f>
        <v/>
      </c>
      <c r="AE127" s="224"/>
      <c r="AF127" s="224"/>
      <c r="AG127" s="224"/>
      <c r="AH127" s="224"/>
      <c r="AI127" s="224"/>
      <c r="AJ127" s="117" t="s">
        <v>15</v>
      </c>
      <c r="AK127" s="224">
        <f ca="1">IF(AW101=FALSE,0,AA112)</f>
        <v>3000</v>
      </c>
      <c r="AL127" s="224"/>
      <c r="AM127" s="224"/>
      <c r="AN127" s="224"/>
      <c r="AO127" s="224"/>
      <c r="AP127" s="224"/>
      <c r="AQ127" s="38"/>
    </row>
    <row r="128" spans="2:55" ht="13.5" customHeight="1" x14ac:dyDescent="0.15">
      <c r="F128" s="218"/>
      <c r="G128" s="218"/>
      <c r="H128" s="218"/>
      <c r="I128" s="218"/>
      <c r="J128" s="218"/>
      <c r="K128" s="218"/>
      <c r="L128" s="220"/>
      <c r="M128" s="220"/>
      <c r="N128" s="220"/>
      <c r="O128" s="220"/>
      <c r="P128" s="220"/>
      <c r="Q128" s="105"/>
      <c r="R128" s="223"/>
      <c r="S128" s="223"/>
      <c r="T128" s="223"/>
      <c r="U128" s="223"/>
      <c r="V128" s="223"/>
      <c r="W128" s="172"/>
      <c r="X128" s="225"/>
      <c r="Y128" s="225"/>
      <c r="Z128" s="225"/>
      <c r="AA128" s="225"/>
      <c r="AB128" s="225"/>
      <c r="AC128" s="172"/>
      <c r="AD128" s="225"/>
      <c r="AE128" s="225"/>
      <c r="AF128" s="225"/>
      <c r="AG128" s="225"/>
      <c r="AH128" s="225"/>
      <c r="AI128" s="225"/>
      <c r="AJ128" s="172"/>
      <c r="AK128" s="225"/>
      <c r="AL128" s="225"/>
      <c r="AM128" s="225"/>
      <c r="AN128" s="225"/>
      <c r="AO128" s="225"/>
      <c r="AP128" s="225"/>
      <c r="AQ128" s="64"/>
      <c r="AR128" s="8"/>
    </row>
    <row r="129" spans="2:47" x14ac:dyDescent="0.15"/>
    <row r="130" spans="2:47" ht="21.75" customHeight="1" x14ac:dyDescent="0.15">
      <c r="B130" s="66" t="str">
        <f ca="1">IF(L127="","","この運送の下限額は、")</f>
        <v/>
      </c>
      <c r="C130" s="67"/>
      <c r="D130" s="67"/>
      <c r="E130" s="51"/>
      <c r="F130" s="51"/>
      <c r="G130" s="67"/>
      <c r="H130" s="67"/>
      <c r="I130" s="67"/>
      <c r="J130" s="51"/>
      <c r="K130" s="216" t="str">
        <f ca="1">IF(L127="","",L127)</f>
        <v/>
      </c>
      <c r="L130" s="216"/>
      <c r="M130" s="216"/>
      <c r="N130" s="216"/>
      <c r="O130" s="216"/>
      <c r="P130" s="216"/>
      <c r="Q130" s="129"/>
      <c r="R130" s="173" t="str">
        <f ca="1">IF(L127="","","です。")</f>
        <v/>
      </c>
      <c r="S130" s="67"/>
      <c r="T130" s="67"/>
      <c r="U130" s="67"/>
      <c r="V130" s="67"/>
      <c r="W130" s="216"/>
      <c r="X130" s="216"/>
      <c r="Y130" s="216"/>
      <c r="Z130" s="216"/>
      <c r="AA130" s="216"/>
      <c r="AB130" s="216"/>
      <c r="AC130" s="66"/>
      <c r="AD130" s="67"/>
      <c r="AE130" s="67"/>
      <c r="AF130" s="67"/>
      <c r="AG130" s="67"/>
      <c r="AH130" s="68"/>
      <c r="AI130" s="68"/>
      <c r="AJ130" s="68"/>
      <c r="AK130" s="68"/>
      <c r="AL130" s="68"/>
      <c r="AM130" s="68"/>
      <c r="AN130" s="68"/>
      <c r="AO130" s="68"/>
      <c r="AP130" s="68"/>
      <c r="AQ130" s="68"/>
      <c r="AR130" s="68"/>
      <c r="AS130" s="68"/>
      <c r="AT130" s="68"/>
      <c r="AU130" s="68"/>
    </row>
    <row r="131" spans="2:47" ht="21" x14ac:dyDescent="0.15">
      <c r="B131" s="215" t="str">
        <f ca="1">IF(L127="","","実際の運賃・料金がこの下限額を下回っている場合は、運賃料金の届出に違反しているおそれがあります。")</f>
        <v/>
      </c>
      <c r="C131" s="215"/>
      <c r="D131" s="215"/>
      <c r="E131" s="215"/>
      <c r="F131" s="215"/>
      <c r="G131" s="215"/>
      <c r="H131" s="215"/>
      <c r="I131" s="215"/>
      <c r="J131" s="215"/>
      <c r="K131" s="215"/>
      <c r="L131" s="215"/>
      <c r="M131" s="215"/>
      <c r="N131" s="215"/>
      <c r="O131" s="215"/>
      <c r="P131" s="215"/>
      <c r="Q131" s="215"/>
      <c r="R131" s="215"/>
      <c r="S131" s="215"/>
      <c r="T131" s="215"/>
      <c r="U131" s="215"/>
      <c r="V131" s="215"/>
      <c r="W131" s="215"/>
      <c r="X131" s="215"/>
      <c r="Y131" s="215"/>
      <c r="Z131" s="215"/>
      <c r="AA131" s="215"/>
      <c r="AB131" s="215"/>
      <c r="AC131" s="215"/>
      <c r="AD131" s="215"/>
      <c r="AE131" s="215"/>
      <c r="AF131" s="215"/>
      <c r="AG131" s="215"/>
      <c r="AH131" s="215"/>
      <c r="AI131" s="215"/>
      <c r="AJ131" s="215"/>
      <c r="AK131" s="215"/>
      <c r="AL131" s="215"/>
      <c r="AM131" s="215"/>
      <c r="AN131" s="215"/>
      <c r="AO131" s="215"/>
      <c r="AP131" s="215"/>
      <c r="AQ131" s="215"/>
      <c r="AR131" s="215"/>
      <c r="AS131" s="215"/>
      <c r="AT131" s="215"/>
      <c r="AU131" s="215"/>
    </row>
    <row r="132" spans="2:47" ht="13.5" hidden="1" customHeight="1" x14ac:dyDescent="0.15">
      <c r="B132" s="68"/>
      <c r="C132" s="68"/>
      <c r="D132" s="68"/>
      <c r="E132" s="68"/>
      <c r="F132" s="68"/>
      <c r="G132" s="68"/>
      <c r="H132" s="68"/>
      <c r="I132" s="68"/>
      <c r="J132" s="68"/>
      <c r="K132" s="68"/>
      <c r="L132" s="68"/>
      <c r="M132" s="68"/>
      <c r="N132" s="68"/>
      <c r="O132" s="68"/>
      <c r="P132" s="68"/>
      <c r="Q132" s="68"/>
      <c r="R132" s="160"/>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row>
    <row r="133" spans="2:47" ht="13.5" hidden="1" customHeight="1" x14ac:dyDescent="0.15">
      <c r="B133" s="68"/>
      <c r="C133" s="68"/>
      <c r="D133" s="68"/>
      <c r="E133" s="68"/>
      <c r="F133" s="68"/>
      <c r="G133" s="68"/>
      <c r="H133" s="68"/>
      <c r="I133" s="68"/>
      <c r="J133" s="68"/>
      <c r="K133" s="68"/>
      <c r="L133" s="68"/>
      <c r="M133" s="68"/>
      <c r="N133" s="68"/>
      <c r="O133" s="68"/>
      <c r="P133" s="68"/>
      <c r="Q133" s="68"/>
      <c r="R133" s="160"/>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row>
    <row r="135" spans="2:47" ht="39.75" hidden="1" customHeight="1" x14ac:dyDescent="0.15"/>
  </sheetData>
  <sheetProtection password="CA41" sheet="1" selectLockedCells="1"/>
  <protectedRanges>
    <protectedRange password="CA41" sqref="M88 Q88" name="範囲1_1"/>
    <protectedRange password="CA41" sqref="AQ16 P12 T12 P14 T14 P16 T16 AM16 N38 AM12 AQ12 AM14 AQ14 M57 Q57 AQ18 P18 T18 AM18 AQ20 P20 T20 AM20 AQ22 P22 T22 AM22 AQ24 P24 T24 AM24 AQ26 P26 T26 AM26 AQ28 P28 T28 AM28" name="範囲1"/>
  </protectedRanges>
  <mergeCells count="286">
    <mergeCell ref="AQ24:AR24"/>
    <mergeCell ref="P20:Q20"/>
    <mergeCell ref="V15:AJ15"/>
    <mergeCell ref="AJ11:AR11"/>
    <mergeCell ref="AQ16:AR16"/>
    <mergeCell ref="AC32:AE32"/>
    <mergeCell ref="AF26:AG26"/>
    <mergeCell ref="AJ26:AL26"/>
    <mergeCell ref="BE2:BJ2"/>
    <mergeCell ref="V17:AJ17"/>
    <mergeCell ref="AB14:AC14"/>
    <mergeCell ref="AB16:AC16"/>
    <mergeCell ref="AJ18:AL18"/>
    <mergeCell ref="AF16:AG16"/>
    <mergeCell ref="AM16:AN16"/>
    <mergeCell ref="AQ12:AR12"/>
    <mergeCell ref="AO14:AP14"/>
    <mergeCell ref="AQ14:AR14"/>
    <mergeCell ref="AO12:AP12"/>
    <mergeCell ref="AO16:AP16"/>
    <mergeCell ref="AQ20:AR20"/>
    <mergeCell ref="AM22:AN22"/>
    <mergeCell ref="AO22:AP22"/>
    <mergeCell ref="AQ22:AR22"/>
    <mergeCell ref="D1:AA2"/>
    <mergeCell ref="J9:L9"/>
    <mergeCell ref="B8:D9"/>
    <mergeCell ref="AF12:AG12"/>
    <mergeCell ref="AF14:AG14"/>
    <mergeCell ref="AB11:AG11"/>
    <mergeCell ref="N8:P8"/>
    <mergeCell ref="R8:T8"/>
    <mergeCell ref="R9:T9"/>
    <mergeCell ref="N9:P9"/>
    <mergeCell ref="P11:U11"/>
    <mergeCell ref="P14:Q14"/>
    <mergeCell ref="T14:U14"/>
    <mergeCell ref="AB12:AC12"/>
    <mergeCell ref="T12:U12"/>
    <mergeCell ref="AO20:AP20"/>
    <mergeCell ref="V21:AJ21"/>
    <mergeCell ref="AJ30:AL30"/>
    <mergeCell ref="AM30:AN30"/>
    <mergeCell ref="AO30:AP30"/>
    <mergeCell ref="T22:U22"/>
    <mergeCell ref="V23:AJ23"/>
    <mergeCell ref="AB24:AC24"/>
    <mergeCell ref="AF24:AG24"/>
    <mergeCell ref="AJ24:AL24"/>
    <mergeCell ref="AO24:AP24"/>
    <mergeCell ref="AM24:AN24"/>
    <mergeCell ref="AM20:AN20"/>
    <mergeCell ref="P24:Q24"/>
    <mergeCell ref="T24:U24"/>
    <mergeCell ref="AJ12:AL12"/>
    <mergeCell ref="AJ14:AL14"/>
    <mergeCell ref="P12:Q12"/>
    <mergeCell ref="AJ16:AL16"/>
    <mergeCell ref="AB22:AC22"/>
    <mergeCell ref="P22:Q22"/>
    <mergeCell ref="V27:AJ27"/>
    <mergeCell ref="V13:AJ13"/>
    <mergeCell ref="AF22:AG22"/>
    <mergeCell ref="AJ22:AL22"/>
    <mergeCell ref="V25:AJ25"/>
    <mergeCell ref="V19:AJ19"/>
    <mergeCell ref="T20:U20"/>
    <mergeCell ref="AB20:AC20"/>
    <mergeCell ref="AF20:AG20"/>
    <mergeCell ref="AJ20:AL20"/>
    <mergeCell ref="P18:Q18"/>
    <mergeCell ref="T18:U18"/>
    <mergeCell ref="AB18:AC18"/>
    <mergeCell ref="AF18:AG18"/>
    <mergeCell ref="P16:Q16"/>
    <mergeCell ref="T16:U16"/>
    <mergeCell ref="AM18:AN18"/>
    <mergeCell ref="AO18:AP18"/>
    <mergeCell ref="AQ18:AR18"/>
    <mergeCell ref="AM12:AN12"/>
    <mergeCell ref="AM14:AN14"/>
    <mergeCell ref="W130:AB130"/>
    <mergeCell ref="B115:E116"/>
    <mergeCell ref="B123:E124"/>
    <mergeCell ref="J112:L112"/>
    <mergeCell ref="N112:P112"/>
    <mergeCell ref="J110:L110"/>
    <mergeCell ref="J92:N92"/>
    <mergeCell ref="J91:N91"/>
    <mergeCell ref="W109:Y109"/>
    <mergeCell ref="J109:L109"/>
    <mergeCell ref="N110:P110"/>
    <mergeCell ref="R109:U109"/>
    <mergeCell ref="R110:U110"/>
    <mergeCell ref="M104:O104"/>
    <mergeCell ref="Q104:S104"/>
    <mergeCell ref="M105:O105"/>
    <mergeCell ref="M107:O107"/>
    <mergeCell ref="Q105:S105"/>
    <mergeCell ref="L123:P123"/>
    <mergeCell ref="F125:K125"/>
    <mergeCell ref="L125:P125"/>
    <mergeCell ref="R122:V122"/>
    <mergeCell ref="X122:AB122"/>
    <mergeCell ref="W110:Y110"/>
    <mergeCell ref="H77:J77"/>
    <mergeCell ref="D79:J79"/>
    <mergeCell ref="V64:Z64"/>
    <mergeCell ref="N64:Q64"/>
    <mergeCell ref="AB64:AF64"/>
    <mergeCell ref="H73:J73"/>
    <mergeCell ref="D75:J75"/>
    <mergeCell ref="N73:Q73"/>
    <mergeCell ref="S73:T73"/>
    <mergeCell ref="V73:Z73"/>
    <mergeCell ref="V66:Z66"/>
    <mergeCell ref="V68:Z68"/>
    <mergeCell ref="AB73:AF73"/>
    <mergeCell ref="S68:T68"/>
    <mergeCell ref="N79:Q79"/>
    <mergeCell ref="V79:Z79"/>
    <mergeCell ref="AB79:AF79"/>
    <mergeCell ref="S79:T79"/>
    <mergeCell ref="N70:Q70"/>
    <mergeCell ref="K47:M47"/>
    <mergeCell ref="I49:K50"/>
    <mergeCell ref="U47:W47"/>
    <mergeCell ref="V51:Z51"/>
    <mergeCell ref="AB52:AG52"/>
    <mergeCell ref="Q49:T49"/>
    <mergeCell ref="L50:O50"/>
    <mergeCell ref="Q50:T50"/>
    <mergeCell ref="V50:Z50"/>
    <mergeCell ref="L49:O49"/>
    <mergeCell ref="U44:W44"/>
    <mergeCell ref="O47:Q47"/>
    <mergeCell ref="P26:Q26"/>
    <mergeCell ref="T26:U26"/>
    <mergeCell ref="AB26:AC26"/>
    <mergeCell ref="Y47:AB47"/>
    <mergeCell ref="N36:P36"/>
    <mergeCell ref="N35:P35"/>
    <mergeCell ref="R36:T36"/>
    <mergeCell ref="V31:AJ31"/>
    <mergeCell ref="AF47:AK47"/>
    <mergeCell ref="AF45:AK45"/>
    <mergeCell ref="K45:M45"/>
    <mergeCell ref="K44:M44"/>
    <mergeCell ref="Y45:AB45"/>
    <mergeCell ref="O45:Q45"/>
    <mergeCell ref="Y44:AB44"/>
    <mergeCell ref="U45:W45"/>
    <mergeCell ref="AI79:AM79"/>
    <mergeCell ref="AI75:AM75"/>
    <mergeCell ref="AQ32:AR32"/>
    <mergeCell ref="N38:P38"/>
    <mergeCell ref="T38:V38"/>
    <mergeCell ref="R38:S38"/>
    <mergeCell ref="N75:Q75"/>
    <mergeCell ref="S75:T75"/>
    <mergeCell ref="V75:Z75"/>
    <mergeCell ref="AB75:AF75"/>
    <mergeCell ref="N77:Q77"/>
    <mergeCell ref="S77:T77"/>
    <mergeCell ref="V77:Z77"/>
    <mergeCell ref="AB77:AF77"/>
    <mergeCell ref="AI68:AM68"/>
    <mergeCell ref="N68:Q68"/>
    <mergeCell ref="AI62:AM62"/>
    <mergeCell ref="S64:T64"/>
    <mergeCell ref="AQ30:AR30"/>
    <mergeCell ref="AM26:AN26"/>
    <mergeCell ref="AO26:AP26"/>
    <mergeCell ref="AQ26:AR26"/>
    <mergeCell ref="AM28:AN28"/>
    <mergeCell ref="AO28:AP28"/>
    <mergeCell ref="AQ28:AR28"/>
    <mergeCell ref="P30:Q30"/>
    <mergeCell ref="T30:U30"/>
    <mergeCell ref="AB30:AC30"/>
    <mergeCell ref="AF30:AG30"/>
    <mergeCell ref="P28:Q28"/>
    <mergeCell ref="T28:U28"/>
    <mergeCell ref="AB28:AC28"/>
    <mergeCell ref="AF28:AG28"/>
    <mergeCell ref="AJ28:AL28"/>
    <mergeCell ref="V29:AJ29"/>
    <mergeCell ref="S70:T70"/>
    <mergeCell ref="V70:Z70"/>
    <mergeCell ref="AB70:AF70"/>
    <mergeCell ref="AJ58:AN58"/>
    <mergeCell ref="AG58:AH58"/>
    <mergeCell ref="Q51:T51"/>
    <mergeCell ref="M57:N57"/>
    <mergeCell ref="Q57:R57"/>
    <mergeCell ref="H66:M66"/>
    <mergeCell ref="D68:M68"/>
    <mergeCell ref="H60:J60"/>
    <mergeCell ref="AB58:AE58"/>
    <mergeCell ref="V60:Z60"/>
    <mergeCell ref="S60:T60"/>
    <mergeCell ref="N60:Q60"/>
    <mergeCell ref="AB60:AF60"/>
    <mergeCell ref="L51:O51"/>
    <mergeCell ref="AK123:AQ123"/>
    <mergeCell ref="G93:H93"/>
    <mergeCell ref="P96:R96"/>
    <mergeCell ref="P97:R97"/>
    <mergeCell ref="T97:Z97"/>
    <mergeCell ref="AE96:AG96"/>
    <mergeCell ref="AI96:AO96"/>
    <mergeCell ref="AP96:AR96"/>
    <mergeCell ref="T96:Z96"/>
    <mergeCell ref="J94:N94"/>
    <mergeCell ref="J96:N96"/>
    <mergeCell ref="J97:N97"/>
    <mergeCell ref="AK114:AQ114"/>
    <mergeCell ref="AD114:AI114"/>
    <mergeCell ref="R112:U112"/>
    <mergeCell ref="W112:Y112"/>
    <mergeCell ref="AA112:AG112"/>
    <mergeCell ref="P94:R94"/>
    <mergeCell ref="T94:Z94"/>
    <mergeCell ref="R119:V120"/>
    <mergeCell ref="X119:AB120"/>
    <mergeCell ref="AD119:AI120"/>
    <mergeCell ref="AK119:AP120"/>
    <mergeCell ref="L115:P115"/>
    <mergeCell ref="H123:K123"/>
    <mergeCell ref="Q107:S107"/>
    <mergeCell ref="AD122:AI122"/>
    <mergeCell ref="R114:V114"/>
    <mergeCell ref="X114:AB114"/>
    <mergeCell ref="R123:V123"/>
    <mergeCell ref="X123:AB123"/>
    <mergeCell ref="AD123:AI123"/>
    <mergeCell ref="F119:K120"/>
    <mergeCell ref="F117:K117"/>
    <mergeCell ref="B131:AU131"/>
    <mergeCell ref="K130:P130"/>
    <mergeCell ref="AD115:AI115"/>
    <mergeCell ref="X115:AB115"/>
    <mergeCell ref="R115:V115"/>
    <mergeCell ref="AK115:AQ115"/>
    <mergeCell ref="F127:K128"/>
    <mergeCell ref="AK125:AQ125"/>
    <mergeCell ref="R124:V124"/>
    <mergeCell ref="X124:AB124"/>
    <mergeCell ref="AD124:AI124"/>
    <mergeCell ref="AK124:AQ124"/>
    <mergeCell ref="AK117:AQ117"/>
    <mergeCell ref="L127:P128"/>
    <mergeCell ref="R117:V117"/>
    <mergeCell ref="X117:AB117"/>
    <mergeCell ref="AD117:AI117"/>
    <mergeCell ref="L119:P120"/>
    <mergeCell ref="L117:P117"/>
    <mergeCell ref="R127:V128"/>
    <mergeCell ref="X127:AB128"/>
    <mergeCell ref="AD127:AI128"/>
    <mergeCell ref="AK127:AP128"/>
    <mergeCell ref="R125:V125"/>
    <mergeCell ref="X125:AB125"/>
    <mergeCell ref="AD125:AI125"/>
    <mergeCell ref="AK122:AQ122"/>
    <mergeCell ref="H115:K115"/>
    <mergeCell ref="D62:J62"/>
    <mergeCell ref="N62:Q62"/>
    <mergeCell ref="S62:T62"/>
    <mergeCell ref="V62:Z62"/>
    <mergeCell ref="N66:Q66"/>
    <mergeCell ref="S66:T66"/>
    <mergeCell ref="AB62:AF62"/>
    <mergeCell ref="AB68:AF68"/>
    <mergeCell ref="AB66:AF66"/>
    <mergeCell ref="D102:U103"/>
    <mergeCell ref="Q88:R88"/>
    <mergeCell ref="AF92:AG92"/>
    <mergeCell ref="T92:Z92"/>
    <mergeCell ref="M88:N88"/>
    <mergeCell ref="P92:R92"/>
    <mergeCell ref="G105:H105"/>
    <mergeCell ref="M109:P109"/>
    <mergeCell ref="AA110:AG110"/>
    <mergeCell ref="G88:H88"/>
    <mergeCell ref="P91:R91"/>
  </mergeCells>
  <phoneticPr fontId="2"/>
  <conditionalFormatting sqref="M88 Q88">
    <cfRule type="expression" dxfId="37" priority="9">
      <formula>$AW$85=FALSE</formula>
    </cfRule>
    <cfRule type="expression" dxfId="36" priority="10">
      <formula>$AW$85=FALSE</formula>
    </cfRule>
  </conditionalFormatting>
  <conditionalFormatting sqref="M57:N57 Q57:R57">
    <cfRule type="expression" dxfId="35" priority="14">
      <formula>$AQ$32=0</formula>
    </cfRule>
  </conditionalFormatting>
  <conditionalFormatting sqref="S64:T64 S70:T70">
    <cfRule type="cellIs" dxfId="34" priority="2" operator="equal">
      <formula>0</formula>
    </cfRule>
  </conditionalFormatting>
  <conditionalFormatting sqref="AN62:AN63 AN68 AN71:AN83">
    <cfRule type="expression" dxfId="33" priority="12">
      <formula>$AQ$32=0</formula>
    </cfRule>
  </conditionalFormatting>
  <dataValidations count="39">
    <dataValidation type="whole" allowBlank="1" showInputMessage="1" showErrorMessage="1" errorTitle="警告" error="上限額と下限額の範囲内で設定してください！" sqref="BK32" xr:uid="{00000000-0002-0000-0100-000000000000}">
      <formula1>BN12</formula1>
      <formula2>BL12</formula2>
    </dataValidation>
    <dataValidation type="whole" allowBlank="1" showInputMessage="1" showErrorMessage="1" errorTitle="範囲外で設定されています！" error="上限額と下限額の範囲内で設定してください！" sqref="AM108" xr:uid="{00000000-0002-0000-0100-000001000000}">
      <formula1>CN108</formula1>
      <formula2>CL108</formula2>
    </dataValidation>
    <dataValidation type="whole" allowBlank="1" showInputMessage="1" showErrorMessage="1" errorTitle="範囲外で設定されています！" error="上限額と下限額の範囲内で設定してください！" sqref="AG9:AG10" xr:uid="{00000000-0002-0000-0100-000002000000}">
      <formula1>BW9</formula1>
      <formula2>BU9</formula2>
    </dataValidation>
    <dataValidation type="whole" allowBlank="1" showInputMessage="1" showErrorMessage="1" errorTitle="範囲外で設定されています！" error="上限額と下限額の範囲内で設定してください！" sqref="AF9:AF10" xr:uid="{00000000-0002-0000-0100-000003000000}">
      <formula1>BW9</formula1>
      <formula2>BU9</formula2>
    </dataValidation>
    <dataValidation type="whole" allowBlank="1" showInputMessage="1" showErrorMessage="1" errorTitle="範囲外で設定されています！" error="上限額と下限額の範囲内で設定してください！" sqref="AE9:AE10" xr:uid="{00000000-0002-0000-0100-000004000000}">
      <formula1>BW9</formula1>
      <formula2>BU9</formula2>
    </dataValidation>
    <dataValidation type="whole" allowBlank="1" showInputMessage="1" showErrorMessage="1" errorTitle="範囲外で設定されています！" error="上限額と下限額の範囲内で設定してください！" sqref="AD9:AD10" xr:uid="{00000000-0002-0000-0100-000005000000}">
      <formula1>BW9</formula1>
      <formula2>BU9</formula2>
    </dataValidation>
    <dataValidation type="whole" allowBlank="1" showInputMessage="1" showErrorMessage="1" errorTitle="範囲外で設定されています！" error="上限額と下限額の範囲内で設定してください！" sqref="AC9:AC10" xr:uid="{00000000-0002-0000-0100-000006000000}">
      <formula1>BW9</formula1>
      <formula2>BU9</formula2>
    </dataValidation>
    <dataValidation type="whole" allowBlank="1" showInputMessage="1" showErrorMessage="1" errorTitle="範囲外で設定されています！" error="上限額と下限額の範囲内で設定してください！" sqref="AB9:AB10" xr:uid="{00000000-0002-0000-0100-000007000000}">
      <formula1>BW9</formula1>
      <formula2>BU9</formula2>
    </dataValidation>
    <dataValidation type="whole" allowBlank="1" showInputMessage="1" showErrorMessage="1" errorTitle="範囲外で設定されています！" error="上限額と下限額の範囲内で設定してください！" sqref="AR108" xr:uid="{00000000-0002-0000-0100-000008000000}">
      <formula1>CN108</formula1>
      <formula2>CL108</formula2>
    </dataValidation>
    <dataValidation type="whole" allowBlank="1" showInputMessage="1" showErrorMessage="1" errorTitle="範囲外で設定されています！" error="上限額と下限額の範囲内で設定してください！" sqref="V9:Y10 AP108" xr:uid="{00000000-0002-0000-0100-000009000000}">
      <formula1>BT9</formula1>
      <formula2>BR9</formula2>
    </dataValidation>
    <dataValidation type="whole" allowBlank="1" showInputMessage="1" showErrorMessage="1" errorTitle="範囲外で設定されています！" error="上限額と下限額の範囲内で設定してください！" sqref="Z9:Z10 AQ108" xr:uid="{00000000-0002-0000-0100-00000A000000}">
      <formula1>BW9</formula1>
      <formula2>BU9</formula2>
    </dataValidation>
    <dataValidation type="whole" allowBlank="1" showInputMessage="1" showErrorMessage="1" errorTitle="範囲外で設定されています！" error="上限額と下限額の範囲内で設定してください！" sqref="AK9:AK10" xr:uid="{00000000-0002-0000-0100-00000B000000}">
      <formula1>U9</formula1>
      <formula2>Q9</formula2>
    </dataValidation>
    <dataValidation type="whole" allowBlank="1" showInputMessage="1" showErrorMessage="1" errorTitle="範囲外で設定されています！" error="上限額と下限額の範囲内で設定してください！" sqref="AJ9:AJ10" xr:uid="{00000000-0002-0000-0100-00000C000000}">
      <formula1>U9</formula1>
      <formula2>Q9</formula2>
    </dataValidation>
    <dataValidation type="whole" allowBlank="1" showInputMessage="1" showErrorMessage="1" errorTitle="範囲外で設定されています！" error="上限額と下限額の範囲内で設定してください！" sqref="S108" xr:uid="{00000000-0002-0000-0100-00000D000000}">
      <formula1>T105</formula1>
      <formula2>P105</formula2>
    </dataValidation>
    <dataValidation type="whole" allowBlank="1" showInputMessage="1" showErrorMessage="1" errorTitle="範囲外で設定されています！" error="上限額と下限額の範囲内で設定してください！" sqref="R108" xr:uid="{00000000-0002-0000-0100-00000E000000}">
      <formula1>T105</formula1>
      <formula2>P105</formula2>
    </dataValidation>
    <dataValidation type="whole" allowBlank="1" showInputMessage="1" showErrorMessage="1" errorTitle="範囲外で設定されています！" error="上限額と下限額の範囲内で設定してください！" sqref="P108" xr:uid="{00000000-0002-0000-0100-00000F000000}">
      <formula1>T105</formula1>
      <formula2>P105</formula2>
    </dataValidation>
    <dataValidation type="whole" allowBlank="1" showInputMessage="1" showErrorMessage="1" errorTitle="範囲外で設定されています！" error="上限額と下限額の範囲内で設定してください！" sqref="N108" xr:uid="{00000000-0002-0000-0100-000010000000}">
      <formula1>T105</formula1>
      <formula2>P105</formula2>
    </dataValidation>
    <dataValidation type="whole" allowBlank="1" showInputMessage="1" showErrorMessage="1" errorTitle="範囲外で設定されています！" error="上限額と下限額の範囲内で設定してください！" sqref="S113" xr:uid="{00000000-0002-0000-0100-000011000000}">
      <formula1>AF109</formula1>
      <formula2>AB109</formula2>
    </dataValidation>
    <dataValidation type="whole" allowBlank="1" showInputMessage="1" showErrorMessage="1" errorTitle="範囲外で設定されています！" error="上限額と下限額の範囲内で設定してください！" sqref="R113" xr:uid="{00000000-0002-0000-0100-000012000000}">
      <formula1>AF109</formula1>
      <formula2>AB109</formula2>
    </dataValidation>
    <dataValidation type="whole" allowBlank="1" showInputMessage="1" showErrorMessage="1" errorTitle="範囲外で設定されています！" error="上限額と下限額の範囲内で設定してください！" sqref="AO108" xr:uid="{00000000-0002-0000-0100-000013000000}">
      <formula1>CN108</formula1>
      <formula2>CL108</formula2>
    </dataValidation>
    <dataValidation type="whole" allowBlank="1" showInputMessage="1" showErrorMessage="1" errorTitle="範囲外で設定されています！" error="上限額と下限額の範囲内で設定してください！" sqref="AN108" xr:uid="{00000000-0002-0000-0100-000014000000}">
      <formula1>CN108</formula1>
      <formula2>CL108</formula2>
    </dataValidation>
    <dataValidation type="whole" allowBlank="1" showInputMessage="1" showErrorMessage="1" errorTitle="範囲外で設定されています！" error="上限額と下限額の範囲内で設定してください！" sqref="AJ108:AK108" xr:uid="{00000000-0002-0000-0100-000015000000}">
      <formula1>CM108</formula1>
      <formula2>CK108</formula2>
    </dataValidation>
    <dataValidation type="whole" allowBlank="1" showInputMessage="1" showErrorMessage="1" errorTitle="範囲外で設定されています！" error="上限額と下限額の範囲内で設定してください！" sqref="AL108" xr:uid="{00000000-0002-0000-0100-000016000000}">
      <formula1>CN108</formula1>
      <formula2>CL108</formula2>
    </dataValidation>
    <dataValidation type="whole" allowBlank="1" showInputMessage="1" showErrorMessage="1" errorTitle="範囲外で設定されています！" error="上限額と下限額の範囲内で設定してください！" sqref="O108" xr:uid="{00000000-0002-0000-0100-000017000000}">
      <formula1>CN108</formula1>
      <formula2>CL108</formula2>
    </dataValidation>
    <dataValidation type="whole" allowBlank="1" showInputMessage="1" showErrorMessage="1" errorTitle="警告" error="上限額と下限額の範囲内で設定してください！" sqref="AZ35" xr:uid="{00000000-0002-0000-0100-000018000000}">
      <formula1>BN13</formula1>
      <formula2>#REF!</formula2>
    </dataValidation>
    <dataValidation type="whole" allowBlank="1" showInputMessage="1" showErrorMessage="1" errorTitle="範囲外で設定されています！" error="上限額と下限額の範囲内で設定してください！" sqref="AW37" xr:uid="{00000000-0002-0000-0100-000019000000}">
      <formula1>T36</formula1>
      <formula2>BM37</formula2>
    </dataValidation>
    <dataValidation type="whole" allowBlank="1" showInputMessage="1" showErrorMessage="1" errorTitle="範囲外で設定されています！" error="上限額と下限額の範囲内で設定してください！" sqref="AV37" xr:uid="{00000000-0002-0000-0100-00001A000000}">
      <formula1>T36</formula1>
      <formula2>BM37</formula2>
    </dataValidation>
    <dataValidation type="whole" allowBlank="1" showInputMessage="1" showErrorMessage="1" errorTitle="警告" error="上限額と下限額の範囲内で設定してください！" sqref="BK33" xr:uid="{00000000-0002-0000-0100-00001B000000}">
      <formula1>BN12</formula1>
      <formula2>#REF!</formula2>
    </dataValidation>
    <dataValidation type="whole" allowBlank="1" showInputMessage="1" showErrorMessage="1" errorTitle="警告" error="上限額と下限額の範囲内で設定してください！" sqref="AZ34" xr:uid="{00000000-0002-0000-0100-00001C000000}">
      <formula1>BN13</formula1>
      <formula2>#REF!</formula2>
    </dataValidation>
    <dataValidation type="whole" allowBlank="1" showInputMessage="1" showErrorMessage="1" errorTitle="範囲外で設定されています！" error="上限額と下限額の範囲内で設定してください！" sqref="S111" xr:uid="{00000000-0002-0000-0100-00001D000000}">
      <formula1>T107</formula1>
      <formula2>P107</formula2>
    </dataValidation>
    <dataValidation type="whole" allowBlank="1" showInputMessage="1" showErrorMessage="1" errorTitle="範囲外で設定されています！" error="上限額と下限額の範囲内で設定してください！" sqref="R111" xr:uid="{00000000-0002-0000-0100-00001E000000}">
      <formula1>T107</formula1>
      <formula2>P107</formula2>
    </dataValidation>
    <dataValidation type="whole" operator="lessThanOrEqual" allowBlank="1" showInputMessage="1" showErrorMessage="1" errorTitle="５０％以内です！" error="割増率は５０％以内です！" sqref="M88" xr:uid="{00000000-0002-0000-0100-00001F000000}">
      <formula1>50</formula1>
    </dataValidation>
    <dataValidation type="whole" operator="lessThanOrEqual" allowBlank="1" showInputMessage="1" showErrorMessage="1" errorTitle="２０％以内です！" error="割増率は２０％以内です！" sqref="M59 M57 Q57" xr:uid="{00000000-0002-0000-0100-000020000000}">
      <formula1>20</formula1>
    </dataValidation>
    <dataValidation type="whole" operator="notBetween" allowBlank="1" showInputMessage="1" showErrorMessage="1" errorTitle="最低３時間です" error="３時間未満の場合は、3時間となります。" sqref="P13 T13 T15 T31 P17 T17 T19 P19 P21 T21 P23 T23 T25 P25 P31 T27 P27 P29 T29" xr:uid="{00000000-0002-0000-0100-000021000000}">
      <formula1>1</formula1>
      <formula2>2</formula2>
    </dataValidation>
    <dataValidation type="whole" operator="greaterThanOrEqual" allowBlank="1" showInputMessage="1" showErrorMessage="1" errorTitle="最低３時間です" error="３時間未満の場合は、3時間となります。" sqref="W32 AV32:AW32" xr:uid="{00000000-0002-0000-0100-000022000000}">
      <formula1>3</formula1>
    </dataValidation>
    <dataValidation type="whole" operator="greaterThanOrEqual" allowBlank="1" showInputMessage="1" showErrorMessage="1" errorTitle="最低３時間です！" error="３時間未満の場合は、3時間となります！" sqref="BP14:BP15 BP32:BP33 BE34:BE35" xr:uid="{00000000-0002-0000-0100-000023000000}">
      <formula1>3</formula1>
    </dataValidation>
    <dataValidation allowBlank="1" showDropDown="1" showInputMessage="1" showErrorMessage="1" sqref="G6:H6" xr:uid="{00000000-0002-0000-0100-000024000000}"/>
    <dataValidation type="whole" allowBlank="1" showInputMessage="1" showErrorMessage="1" errorTitle="警告" error="上限額と下限額の範囲内で設定してください！" sqref="BK16:BK31" xr:uid="{00000000-0002-0000-0100-000025000000}">
      <formula1>BN11</formula1>
      <formula2>BL11</formula2>
    </dataValidation>
    <dataValidation allowBlank="1" showInputMessage="1" sqref="Q88:R88" xr:uid="{00000000-0002-0000-0100-000026000000}"/>
  </dataValidations>
  <pageMargins left="0.70866141732283472" right="0.23" top="0.39370078740157483" bottom="0.23622047244094491" header="0.31496062992125984" footer="0.23622047244094491"/>
  <pageSetup paperSize="9" scale="5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3" r:id="rId4" name="Option Button 19">
              <controlPr locked="0" defaultSize="0" autoFill="0" autoLine="0" autoPict="0" altText="">
                <anchor moveWithCells="1">
                  <from>
                    <xdr:col>6</xdr:col>
                    <xdr:colOff>47625</xdr:colOff>
                    <xdr:row>5</xdr:row>
                    <xdr:rowOff>38100</xdr:rowOff>
                  </from>
                  <to>
                    <xdr:col>7</xdr:col>
                    <xdr:colOff>66675</xdr:colOff>
                    <xdr:row>5</xdr:row>
                    <xdr:rowOff>209550</xdr:rowOff>
                  </to>
                </anchor>
              </controlPr>
            </control>
          </mc:Choice>
        </mc:AlternateContent>
        <mc:AlternateContent xmlns:mc="http://schemas.openxmlformats.org/markup-compatibility/2006">
          <mc:Choice Requires="x14">
            <control shapeId="1044" r:id="rId5" name="Option Button 20">
              <controlPr defaultSize="0" autoFill="0" autoLine="0" autoPict="0">
                <anchor moveWithCells="1">
                  <from>
                    <xdr:col>10</xdr:col>
                    <xdr:colOff>66675</xdr:colOff>
                    <xdr:row>5</xdr:row>
                    <xdr:rowOff>28575</xdr:rowOff>
                  </from>
                  <to>
                    <xdr:col>11</xdr:col>
                    <xdr:colOff>95250</xdr:colOff>
                    <xdr:row>5</xdr:row>
                    <xdr:rowOff>209550</xdr:rowOff>
                  </to>
                </anchor>
              </controlPr>
            </control>
          </mc:Choice>
        </mc:AlternateContent>
        <mc:AlternateContent xmlns:mc="http://schemas.openxmlformats.org/markup-compatibility/2006">
          <mc:Choice Requires="x14">
            <control shapeId="1045" r:id="rId6" name="Group Box 21">
              <controlPr defaultSize="0" autoFill="0" autoPict="0">
                <anchor moveWithCells="1">
                  <from>
                    <xdr:col>5</xdr:col>
                    <xdr:colOff>38100</xdr:colOff>
                    <xdr:row>4</xdr:row>
                    <xdr:rowOff>95250</xdr:rowOff>
                  </from>
                  <to>
                    <xdr:col>27</xdr:col>
                    <xdr:colOff>95250</xdr:colOff>
                    <xdr:row>6</xdr:row>
                    <xdr:rowOff>76200</xdr:rowOff>
                  </to>
                </anchor>
              </controlPr>
            </control>
          </mc:Choice>
        </mc:AlternateContent>
        <mc:AlternateContent xmlns:mc="http://schemas.openxmlformats.org/markup-compatibility/2006">
          <mc:Choice Requires="x14">
            <control shapeId="1046" r:id="rId7" name="Group Box 22">
              <controlPr defaultSize="0" autoFill="0" autoPict="0">
                <anchor moveWithCells="1">
                  <from>
                    <xdr:col>8</xdr:col>
                    <xdr:colOff>28575</xdr:colOff>
                    <xdr:row>38</xdr:row>
                    <xdr:rowOff>123825</xdr:rowOff>
                  </from>
                  <to>
                    <xdr:col>23</xdr:col>
                    <xdr:colOff>133350</xdr:colOff>
                    <xdr:row>42</xdr:row>
                    <xdr:rowOff>133350</xdr:rowOff>
                  </to>
                </anchor>
              </controlPr>
            </control>
          </mc:Choice>
        </mc:AlternateContent>
        <mc:AlternateContent xmlns:mc="http://schemas.openxmlformats.org/markup-compatibility/2006">
          <mc:Choice Requires="x14">
            <control shapeId="1047" r:id="rId8" name="Option Button 23">
              <controlPr defaultSize="0" autoFill="0" autoLine="0" autoPict="0">
                <anchor moveWithCells="1">
                  <from>
                    <xdr:col>14</xdr:col>
                    <xdr:colOff>19050</xdr:colOff>
                    <xdr:row>5</xdr:row>
                    <xdr:rowOff>38100</xdr:rowOff>
                  </from>
                  <to>
                    <xdr:col>15</xdr:col>
                    <xdr:colOff>47625</xdr:colOff>
                    <xdr:row>5</xdr:row>
                    <xdr:rowOff>209550</xdr:rowOff>
                  </to>
                </anchor>
              </controlPr>
            </control>
          </mc:Choice>
        </mc:AlternateContent>
        <mc:AlternateContent xmlns:mc="http://schemas.openxmlformats.org/markup-compatibility/2006">
          <mc:Choice Requires="x14">
            <control shapeId="1050" r:id="rId9" name="Group Box 26">
              <controlPr defaultSize="0" autoFill="0" autoPict="0">
                <anchor moveWithCells="1">
                  <from>
                    <xdr:col>6</xdr:col>
                    <xdr:colOff>85725</xdr:colOff>
                    <xdr:row>4</xdr:row>
                    <xdr:rowOff>95250</xdr:rowOff>
                  </from>
                  <to>
                    <xdr:col>29</xdr:col>
                    <xdr:colOff>38100</xdr:colOff>
                    <xdr:row>6</xdr:row>
                    <xdr:rowOff>66675</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3</xdr:col>
                    <xdr:colOff>0</xdr:colOff>
                    <xdr:row>83</xdr:row>
                    <xdr:rowOff>38100</xdr:rowOff>
                  </from>
                  <to>
                    <xdr:col>4</xdr:col>
                    <xdr:colOff>19050</xdr:colOff>
                    <xdr:row>85</xdr:row>
                    <xdr:rowOff>38100</xdr:rowOff>
                  </to>
                </anchor>
              </controlPr>
            </control>
          </mc:Choice>
        </mc:AlternateContent>
        <mc:AlternateContent xmlns:mc="http://schemas.openxmlformats.org/markup-compatibility/2006">
          <mc:Choice Requires="x14">
            <control shapeId="1053" r:id="rId11" name="Check Box 29">
              <controlPr locked="0" defaultSize="0" autoFill="0" autoLine="0" autoPict="0">
                <anchor moveWithCells="1">
                  <from>
                    <xdr:col>3</xdr:col>
                    <xdr:colOff>19050</xdr:colOff>
                    <xdr:row>99</xdr:row>
                    <xdr:rowOff>114300</xdr:rowOff>
                  </from>
                  <to>
                    <xdr:col>4</xdr:col>
                    <xdr:colOff>47625</xdr:colOff>
                    <xdr:row>101</xdr:row>
                    <xdr:rowOff>57150</xdr:rowOff>
                  </to>
                </anchor>
              </controlPr>
            </control>
          </mc:Choice>
        </mc:AlternateContent>
        <mc:AlternateContent xmlns:mc="http://schemas.openxmlformats.org/markup-compatibility/2006">
          <mc:Choice Requires="x14">
            <control shapeId="1054" r:id="rId12" name="Check Box 30">
              <controlPr locked="0" defaultSize="0" autoFill="0" autoLine="0" autoPict="0">
                <anchor moveWithCells="1">
                  <from>
                    <xdr:col>3</xdr:col>
                    <xdr:colOff>0</xdr:colOff>
                    <xdr:row>83</xdr:row>
                    <xdr:rowOff>38100</xdr:rowOff>
                  </from>
                  <to>
                    <xdr:col>4</xdr:col>
                    <xdr:colOff>28575</xdr:colOff>
                    <xdr:row>85</xdr:row>
                    <xdr:rowOff>47625</xdr:rowOff>
                  </to>
                </anchor>
              </controlPr>
            </control>
          </mc:Choice>
        </mc:AlternateContent>
        <mc:AlternateContent xmlns:mc="http://schemas.openxmlformats.org/markup-compatibility/2006">
          <mc:Choice Requires="x14">
            <control shapeId="1056" r:id="rId13" name="Drop Down 32">
              <controlPr locked="0" defaultSize="0" autoLine="0" autoPict="0">
                <anchor moveWithCells="1">
                  <from>
                    <xdr:col>5</xdr:col>
                    <xdr:colOff>209550</xdr:colOff>
                    <xdr:row>2</xdr:row>
                    <xdr:rowOff>133350</xdr:rowOff>
                  </from>
                  <to>
                    <xdr:col>9</xdr:col>
                    <xdr:colOff>95250</xdr:colOff>
                    <xdr:row>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V125"/>
  <sheetViews>
    <sheetView showGridLines="0" showRowColHeaders="0" view="pageBreakPreview" topLeftCell="A13" zoomScale="90" zoomScaleNormal="90" zoomScaleSheetLayoutView="90" workbookViewId="0">
      <selection activeCell="W13" sqref="W13:X13"/>
    </sheetView>
  </sheetViews>
  <sheetFormatPr defaultColWidth="0" defaultRowHeight="13.5" customHeight="1" zeroHeight="1" x14ac:dyDescent="0.15"/>
  <cols>
    <col min="1" max="2" width="4" style="5" customWidth="1"/>
    <col min="3" max="7" width="3.625" style="5" customWidth="1"/>
    <col min="8" max="9" width="3.125" style="5" customWidth="1"/>
    <col min="10" max="15" width="3.625" style="5" customWidth="1"/>
    <col min="16" max="17" width="2.625" style="5" customWidth="1"/>
    <col min="18" max="18" width="2.875" style="5" customWidth="1"/>
    <col min="19" max="19" width="4" style="5" customWidth="1"/>
    <col min="20" max="20" width="2.75" style="5" customWidth="1"/>
    <col min="21" max="21" width="3.5" style="5" customWidth="1"/>
    <col min="22" max="22" width="3.625" style="5" customWidth="1"/>
    <col min="23" max="24" width="3.125" style="5" customWidth="1"/>
    <col min="25" max="25" width="2.375" style="5" customWidth="1"/>
    <col min="26" max="26" width="3.125" style="5" customWidth="1"/>
    <col min="27" max="27" width="3" style="5" customWidth="1"/>
    <col min="28" max="29" width="2.625" style="5" customWidth="1"/>
    <col min="30" max="30" width="3.625" style="5" customWidth="1"/>
    <col min="31" max="31" width="2.125" style="5" customWidth="1"/>
    <col min="32" max="33" width="2.625" style="5" customWidth="1"/>
    <col min="34" max="35" width="3.625" style="5" customWidth="1"/>
    <col min="36" max="38" width="3" style="5" customWidth="1"/>
    <col min="39" max="39" width="2.625" style="5" customWidth="1"/>
    <col min="40" max="40" width="7" style="5" bestFit="1" customWidth="1"/>
    <col min="41" max="42" width="2.75" style="5" customWidth="1"/>
    <col min="43" max="44" width="3.125" style="5" customWidth="1"/>
    <col min="45" max="45" width="3.625" style="5" customWidth="1"/>
    <col min="46" max="48" width="3.875" style="5" customWidth="1"/>
    <col min="49" max="50" width="3.875" style="24" customWidth="1"/>
    <col min="51" max="52" width="3.875" style="24" hidden="1" customWidth="1"/>
    <col min="53" max="53" width="7.125" style="24" hidden="1" customWidth="1"/>
    <col min="54" max="54" width="3.25" style="24" hidden="1" customWidth="1"/>
    <col min="55" max="55" width="7.125" style="31" hidden="1" customWidth="1"/>
    <col min="56" max="61" width="3.5" style="31" hidden="1" customWidth="1"/>
    <col min="62" max="67" width="3.625" style="31" hidden="1" customWidth="1"/>
    <col min="68" max="78" width="4.625" style="31" hidden="1" customWidth="1"/>
    <col min="79" max="79" width="4.375" style="31" hidden="1" customWidth="1"/>
    <col min="80" max="82" width="4.625" style="31" hidden="1" customWidth="1"/>
    <col min="83" max="95" width="3.625" style="31" hidden="1" customWidth="1"/>
    <col min="96" max="100" width="4.625" style="31" hidden="1" customWidth="1"/>
    <col min="101" max="16384" width="9" style="31" hidden="1"/>
  </cols>
  <sheetData>
    <row r="1" spans="1:95" ht="6.75" customHeight="1" thickBot="1" x14ac:dyDescent="0.2">
      <c r="D1" s="301" t="s">
        <v>94</v>
      </c>
      <c r="E1" s="301"/>
      <c r="F1" s="301"/>
      <c r="G1" s="301"/>
      <c r="H1" s="301"/>
      <c r="I1" s="301"/>
      <c r="J1" s="301"/>
      <c r="K1" s="301"/>
      <c r="L1" s="301"/>
      <c r="M1" s="301"/>
      <c r="N1" s="301"/>
      <c r="O1" s="301"/>
      <c r="P1" s="301"/>
      <c r="Q1" s="301"/>
      <c r="R1" s="301"/>
      <c r="S1" s="301"/>
      <c r="T1" s="301"/>
      <c r="U1" s="301"/>
      <c r="V1" s="301"/>
      <c r="W1" s="301"/>
      <c r="X1" s="301"/>
      <c r="Y1" s="301"/>
      <c r="Z1" s="301"/>
      <c r="AA1" s="301"/>
    </row>
    <row r="2" spans="1:95" ht="21" customHeight="1" thickBot="1" x14ac:dyDescent="0.2">
      <c r="D2" s="301"/>
      <c r="E2" s="301"/>
      <c r="F2" s="301"/>
      <c r="G2" s="301"/>
      <c r="H2" s="301"/>
      <c r="I2" s="301"/>
      <c r="J2" s="301"/>
      <c r="K2" s="301"/>
      <c r="L2" s="301"/>
      <c r="M2" s="301"/>
      <c r="N2" s="301"/>
      <c r="O2" s="301"/>
      <c r="P2" s="301"/>
      <c r="Q2" s="301"/>
      <c r="R2" s="301"/>
      <c r="S2" s="301"/>
      <c r="T2" s="301"/>
      <c r="U2" s="301"/>
      <c r="V2" s="301"/>
      <c r="W2" s="301"/>
      <c r="X2" s="301"/>
      <c r="Y2" s="301"/>
      <c r="Z2" s="301"/>
      <c r="AA2" s="301"/>
      <c r="AB2" s="25"/>
      <c r="AC2" s="26"/>
      <c r="AD2" s="27"/>
      <c r="AE2" s="28"/>
      <c r="AF2" s="102" t="s">
        <v>114</v>
      </c>
      <c r="AG2" s="29"/>
      <c r="AH2" s="29"/>
      <c r="AI2" s="29"/>
      <c r="AJ2" s="29"/>
      <c r="AK2" s="29"/>
      <c r="AL2" s="29"/>
      <c r="AM2" s="29"/>
      <c r="AN2" s="29"/>
      <c r="AO2" s="95"/>
      <c r="BH2" s="302"/>
      <c r="BI2" s="302"/>
      <c r="BJ2" s="302"/>
      <c r="BK2" s="302"/>
      <c r="BL2" s="302"/>
      <c r="BM2" s="302"/>
    </row>
    <row r="3" spans="1:95" ht="21" customHeight="1" x14ac:dyDescent="0.15">
      <c r="D3" s="184"/>
      <c r="E3" s="184"/>
      <c r="F3" s="184"/>
      <c r="G3" s="184"/>
      <c r="H3" s="184"/>
      <c r="I3" s="184"/>
      <c r="J3" s="184"/>
      <c r="K3" s="184"/>
      <c r="L3" s="184"/>
      <c r="M3" s="184"/>
      <c r="N3" s="184"/>
      <c r="O3" s="184"/>
      <c r="P3" s="184"/>
      <c r="Q3" s="184"/>
      <c r="R3" s="184"/>
      <c r="S3" s="184"/>
      <c r="T3" s="184"/>
      <c r="U3" s="184"/>
      <c r="V3" s="184"/>
      <c r="W3" s="184"/>
      <c r="X3" s="184"/>
      <c r="Y3" s="184"/>
      <c r="Z3" s="184"/>
      <c r="AA3" s="184"/>
      <c r="AB3" s="25"/>
      <c r="AC3" s="30"/>
      <c r="AD3" s="30"/>
      <c r="AE3" s="30"/>
      <c r="AF3" s="29"/>
      <c r="AG3" s="29"/>
      <c r="AH3" s="29"/>
      <c r="AI3" s="29"/>
      <c r="AJ3" s="29"/>
      <c r="AK3" s="29"/>
      <c r="AL3" s="29"/>
      <c r="AM3" s="29"/>
      <c r="AN3" s="29"/>
      <c r="AO3" s="95"/>
      <c r="BH3" s="183"/>
      <c r="BI3" s="183"/>
      <c r="BJ3" s="183"/>
      <c r="BK3" s="183"/>
      <c r="BL3" s="183"/>
      <c r="BM3" s="183"/>
    </row>
    <row r="4" spans="1:95" ht="21" customHeight="1" x14ac:dyDescent="0.15">
      <c r="C4" s="5" t="s">
        <v>78</v>
      </c>
      <c r="D4" s="184"/>
      <c r="E4" s="184"/>
      <c r="F4" s="184"/>
      <c r="G4" s="184"/>
      <c r="H4" s="184"/>
      <c r="I4" s="184"/>
      <c r="J4" s="184"/>
      <c r="K4" s="184"/>
      <c r="L4" s="184"/>
      <c r="M4" s="96"/>
      <c r="N4" s="96"/>
      <c r="O4" s="96"/>
      <c r="Q4" s="96"/>
      <c r="R4" s="184"/>
      <c r="S4" s="184"/>
      <c r="T4" s="184"/>
      <c r="U4" s="184"/>
      <c r="V4" s="184"/>
      <c r="W4" s="184"/>
      <c r="X4" s="184"/>
      <c r="Y4" s="184"/>
      <c r="Z4" s="184"/>
      <c r="AA4" s="184"/>
      <c r="AB4" s="25"/>
      <c r="AC4" s="30"/>
      <c r="AD4" s="30"/>
      <c r="AE4" s="30"/>
      <c r="AF4" s="29"/>
      <c r="AG4" s="29"/>
      <c r="AH4" s="29"/>
      <c r="AI4" s="29"/>
      <c r="AJ4" s="29"/>
      <c r="AK4" s="29"/>
      <c r="AL4" s="29"/>
      <c r="AM4" s="29"/>
      <c r="AN4" s="29"/>
      <c r="AO4" s="95"/>
      <c r="BH4" s="183"/>
      <c r="BI4" s="183"/>
      <c r="BJ4" s="183"/>
      <c r="BK4" s="183"/>
      <c r="BL4" s="183"/>
      <c r="BM4" s="183"/>
    </row>
    <row r="5" spans="1:95" ht="25.5" x14ac:dyDescent="0.15">
      <c r="BC5" s="31">
        <v>6</v>
      </c>
      <c r="BD5" s="135" t="str">
        <f>VLOOKUP($BC$5,$BR$38:$BS$47,2,FALSE)</f>
        <v>中国</v>
      </c>
    </row>
    <row r="6" spans="1:95" ht="23.25" customHeight="1" x14ac:dyDescent="0.15">
      <c r="D6" s="32" t="s">
        <v>0</v>
      </c>
      <c r="E6" s="33"/>
      <c r="G6" s="121"/>
      <c r="H6" s="121"/>
      <c r="I6" s="103"/>
      <c r="J6" s="103"/>
      <c r="K6" s="103"/>
      <c r="L6" s="103"/>
      <c r="M6" s="103"/>
      <c r="N6" s="103"/>
      <c r="O6" s="103"/>
      <c r="P6" s="103"/>
      <c r="Q6" s="103"/>
      <c r="R6" s="103"/>
      <c r="S6" s="103"/>
      <c r="T6" s="103"/>
      <c r="U6" s="18" t="s">
        <v>92</v>
      </c>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42"/>
      <c r="AX6" s="142"/>
      <c r="AY6" s="142"/>
      <c r="AZ6" s="142"/>
      <c r="BA6" s="142"/>
      <c r="BB6" s="142"/>
      <c r="BC6" s="69"/>
      <c r="BD6" s="69"/>
      <c r="BE6" s="69"/>
      <c r="BG6" s="180"/>
      <c r="BH6" s="180"/>
      <c r="BI6" s="180"/>
      <c r="BK6" s="180"/>
      <c r="BY6" s="303"/>
      <c r="BZ6" s="303"/>
      <c r="CA6" s="303"/>
      <c r="CK6" s="296" t="s">
        <v>55</v>
      </c>
      <c r="CL6" s="296"/>
      <c r="CM6" s="296"/>
      <c r="CN6" s="281">
        <v>8.3333333333333329E-2</v>
      </c>
      <c r="CO6" s="281"/>
      <c r="CP6" s="281"/>
      <c r="CQ6" s="97"/>
    </row>
    <row r="7" spans="1:95" ht="9" customHeight="1" x14ac:dyDescent="0.15">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42"/>
      <c r="AX7" s="142"/>
      <c r="AY7" s="142"/>
      <c r="AZ7" s="142"/>
      <c r="BA7" s="142"/>
      <c r="BB7" s="142"/>
      <c r="BC7" s="69"/>
      <c r="BD7" s="69"/>
      <c r="BE7" s="69"/>
    </row>
    <row r="8" spans="1:95" ht="15.75" customHeight="1" x14ac:dyDescent="0.15">
      <c r="B8" s="304" t="s">
        <v>32</v>
      </c>
      <c r="C8" s="304"/>
      <c r="D8" s="304"/>
      <c r="E8" s="35"/>
      <c r="F8" s="35"/>
      <c r="M8" s="70"/>
      <c r="O8" s="241"/>
      <c r="P8" s="241"/>
      <c r="Q8" s="241"/>
      <c r="R8" s="59"/>
      <c r="S8" s="241" t="s">
        <v>8</v>
      </c>
      <c r="T8" s="241"/>
      <c r="U8" s="241"/>
      <c r="V8" s="8"/>
      <c r="W8" s="8"/>
      <c r="X8" s="8"/>
      <c r="Y8" s="8"/>
      <c r="Z8" s="8"/>
      <c r="AA8" s="8"/>
      <c r="AB8" s="8"/>
      <c r="AC8" s="8"/>
      <c r="AD8" s="8"/>
      <c r="AE8" s="8"/>
      <c r="AF8" s="8"/>
      <c r="AG8" s="8"/>
      <c r="AH8" s="8"/>
      <c r="AJ8" s="8"/>
      <c r="AK8" s="8"/>
      <c r="AL8" s="8"/>
      <c r="AR8" s="8"/>
      <c r="AS8" s="8"/>
      <c r="AT8" s="8"/>
      <c r="AU8" s="8"/>
      <c r="AV8" s="8"/>
      <c r="AW8" s="31"/>
      <c r="AX8" s="31"/>
      <c r="AY8" s="31"/>
      <c r="AZ8" s="31"/>
      <c r="BA8" s="31"/>
      <c r="BB8" s="31"/>
    </row>
    <row r="9" spans="1:95" ht="19.5" customHeight="1" x14ac:dyDescent="0.15">
      <c r="B9" s="304"/>
      <c r="C9" s="304"/>
      <c r="D9" s="304"/>
      <c r="E9" s="35"/>
      <c r="F9" s="35"/>
      <c r="G9" s="5" t="s">
        <v>20</v>
      </c>
      <c r="I9" s="107"/>
      <c r="J9" s="203" t="s">
        <v>13</v>
      </c>
      <c r="K9" s="203"/>
      <c r="L9" s="236"/>
      <c r="M9" s="71"/>
      <c r="N9" s="305">
        <f ca="1">VLOOKUP($BC$10,INDIRECT(BD5),3)</f>
        <v>0</v>
      </c>
      <c r="O9" s="305"/>
      <c r="P9" s="305"/>
      <c r="Q9" s="305"/>
      <c r="R9" s="107" t="s">
        <v>129</v>
      </c>
      <c r="S9" s="275">
        <f ca="1">VLOOKUP($BC$10,INDIRECT(BD5),4)</f>
        <v>6320</v>
      </c>
      <c r="T9" s="275"/>
      <c r="U9" s="275"/>
      <c r="V9" s="275"/>
      <c r="W9" s="6"/>
      <c r="X9" s="6"/>
      <c r="Y9" s="6"/>
      <c r="Z9" s="6"/>
      <c r="AA9" s="6"/>
      <c r="AC9" s="6"/>
      <c r="AD9" s="6"/>
      <c r="AE9" s="6"/>
      <c r="AF9" s="6"/>
      <c r="AG9" s="6"/>
      <c r="AH9" s="6"/>
      <c r="AK9" s="11"/>
      <c r="AL9" s="11"/>
      <c r="AR9" s="8"/>
      <c r="AS9" s="8"/>
      <c r="AT9" s="8"/>
      <c r="AU9" s="8"/>
      <c r="AV9" s="8"/>
      <c r="AW9" s="31"/>
      <c r="AX9" s="31"/>
      <c r="AY9" s="31"/>
      <c r="AZ9" s="31"/>
      <c r="BA9" s="31"/>
      <c r="BB9" s="31"/>
      <c r="CC9" s="281">
        <v>1</v>
      </c>
      <c r="CD9" s="281"/>
      <c r="CE9" s="281"/>
    </row>
    <row r="10" spans="1:95" ht="27" customHeight="1" thickBot="1" x14ac:dyDescent="0.2">
      <c r="A10" s="8"/>
      <c r="B10" s="8"/>
      <c r="C10" s="8"/>
      <c r="F10" s="299" t="s">
        <v>51</v>
      </c>
      <c r="G10" s="203"/>
      <c r="H10" s="203"/>
      <c r="I10" s="203"/>
      <c r="J10" s="203"/>
      <c r="K10" s="38"/>
      <c r="L10" s="38"/>
      <c r="M10" s="203" t="s">
        <v>45</v>
      </c>
      <c r="N10" s="203"/>
      <c r="O10" s="203"/>
      <c r="P10" s="300" t="s">
        <v>56</v>
      </c>
      <c r="Q10" s="300"/>
      <c r="R10" s="300"/>
      <c r="S10" s="300"/>
      <c r="T10" s="300"/>
      <c r="U10" s="204" t="s">
        <v>58</v>
      </c>
      <c r="V10" s="204"/>
      <c r="W10" s="204"/>
      <c r="X10" s="38"/>
      <c r="Y10" s="38"/>
      <c r="AA10" s="299" t="s">
        <v>52</v>
      </c>
      <c r="AB10" s="203"/>
      <c r="AC10" s="203"/>
      <c r="AD10" s="203"/>
      <c r="AE10" s="203"/>
      <c r="AF10" s="203" t="s">
        <v>50</v>
      </c>
      <c r="AG10" s="203"/>
      <c r="AH10" s="203"/>
      <c r="AI10" s="203"/>
      <c r="AJ10" s="203"/>
      <c r="AL10" s="13" t="s">
        <v>38</v>
      </c>
      <c r="AT10" s="39"/>
      <c r="AU10" s="73"/>
      <c r="BC10" s="31">
        <v>1</v>
      </c>
      <c r="BP10" s="296" t="s">
        <v>50</v>
      </c>
      <c r="BQ10" s="296"/>
      <c r="BR10" s="296"/>
      <c r="BS10" s="296"/>
      <c r="BT10" s="296"/>
      <c r="BU10" s="296"/>
      <c r="BV10" s="296"/>
      <c r="BW10" s="296"/>
      <c r="BY10" s="296" t="s">
        <v>54</v>
      </c>
      <c r="BZ10" s="296"/>
      <c r="CA10" s="296"/>
      <c r="CC10" s="31" t="s">
        <v>53</v>
      </c>
      <c r="CF10" s="296" t="s">
        <v>45</v>
      </c>
      <c r="CG10" s="296"/>
      <c r="CH10" s="296"/>
      <c r="CJ10" s="296" t="s">
        <v>46</v>
      </c>
      <c r="CK10" s="296"/>
      <c r="CL10" s="296"/>
    </row>
    <row r="11" spans="1:95" ht="18.75" customHeight="1" thickBot="1" x14ac:dyDescent="0.2">
      <c r="A11" s="293">
        <v>0</v>
      </c>
      <c r="B11" s="293"/>
      <c r="C11" s="293"/>
      <c r="D11" s="7" t="s">
        <v>28</v>
      </c>
      <c r="E11" s="74"/>
      <c r="G11" s="290" t="str">
        <f>IF(AND($L11="",$O11=""),"",IF($L11=0,TIME(23,$O11,0),TIME($L11-1,$O11,0)))</f>
        <v/>
      </c>
      <c r="H11" s="290"/>
      <c r="I11" s="290"/>
      <c r="J11" s="203" t="s">
        <v>40</v>
      </c>
      <c r="K11" s="203"/>
      <c r="L11" s="297"/>
      <c r="M11" s="298"/>
      <c r="N11" s="5" t="s">
        <v>47</v>
      </c>
      <c r="O11" s="288"/>
      <c r="P11" s="289"/>
      <c r="Q11" s="38" t="s">
        <v>22</v>
      </c>
      <c r="R11" s="203" t="s">
        <v>40</v>
      </c>
      <c r="S11" s="203"/>
      <c r="T11" s="297"/>
      <c r="U11" s="298"/>
      <c r="V11" s="5" t="s">
        <v>47</v>
      </c>
      <c r="W11" s="288"/>
      <c r="X11" s="289"/>
      <c r="Y11" s="38" t="s">
        <v>22</v>
      </c>
      <c r="Z11" s="203" t="s">
        <v>40</v>
      </c>
      <c r="AA11" s="203"/>
      <c r="AB11" s="290" t="str">
        <f>IF(AND($T11="",$W11=""),"",TIME(T11+1,W11,0))</f>
        <v/>
      </c>
      <c r="AC11" s="290"/>
      <c r="AD11" s="290"/>
      <c r="AE11" s="179"/>
      <c r="AF11" s="291">
        <f>IF(OR($G11="",$AB11=""),0,IF(OR($BP11&gt;20,AND($BP11=20,$BR11&gt;0)),"20時間を",IF($BR11=0,IF($BP11=0,0,IF($BP11&gt;5,$BP11,5)),IF($BP11&lt;5,5,$BP11))))</f>
        <v>0</v>
      </c>
      <c r="AG11" s="291"/>
      <c r="AH11" s="291"/>
      <c r="AI11" s="292">
        <f>IF(OR($G11="",AB11=""),0,IF($AF11="20時間を","超えています",IF($BP11&lt;5,0,$BR11)))</f>
        <v>0</v>
      </c>
      <c r="AJ11" s="292"/>
      <c r="AK11" s="292"/>
      <c r="AL11" s="292"/>
      <c r="AM11" s="75" t="s">
        <v>48</v>
      </c>
      <c r="AN11" s="284">
        <f>IF(AF11="20時間を",0,IF(OR($G11="",$AB11=""),0,HOUR($CC11)))</f>
        <v>0</v>
      </c>
      <c r="AO11" s="284"/>
      <c r="AP11" s="284"/>
      <c r="AQ11" s="285">
        <f>IF(AF11="20時間を",0,IF(OR($G11="",AB11=""),0,MINUTE($CC11)))</f>
        <v>0</v>
      </c>
      <c r="AR11" s="285"/>
      <c r="AS11" s="38" t="s">
        <v>49</v>
      </c>
      <c r="AT11" s="76"/>
      <c r="AU11" s="76"/>
      <c r="AV11" s="38"/>
      <c r="BP11" s="286">
        <f>IF(CJ11=CF11,26,HOUR(BY11)+2)</f>
        <v>26</v>
      </c>
      <c r="BQ11" s="286"/>
      <c r="BR11" s="287" t="e">
        <f>MINUTE(BU11)</f>
        <v>#VALUE!</v>
      </c>
      <c r="BS11" s="287"/>
      <c r="BT11" s="177" t="s">
        <v>31</v>
      </c>
      <c r="BU11" s="281" t="e">
        <f>+BY11+$CN$6</f>
        <v>#VALUE!</v>
      </c>
      <c r="BV11" s="281"/>
      <c r="BW11" s="281"/>
      <c r="BX11" s="177"/>
      <c r="BY11" s="281" t="e">
        <f>CN11-CF11</f>
        <v>#VALUE!</v>
      </c>
      <c r="BZ11" s="281"/>
      <c r="CA11" s="281"/>
      <c r="CC11" s="273" t="e">
        <f>BU11-(IF($AB11&gt;$G11,IF($G11&lt;$A$15,IF($AB11&lt;=$A$15,0,IF($AB11&lt;$A$14,$AB11-$A$15,$A$14-$A$15)),IF($G11&lt;$A$14,IF($AB11&lt;$A$14,$AB11-$G11,$A$14-$G11),0)),IF($G11&gt;=$A$14,IF($AB11&lt;$A$15,0,IF($AB11&lt;$A$14,$AB11-$A$15,$A$14-$A$15)),IF($G11&gt;$A$15,IF($AB11&lt;$A$15,$A$14-$G11,($A$14-$G11)+($AB11-$A$15)),$A$14-$A$15))))</f>
        <v>#VALUE!</v>
      </c>
      <c r="CD11" s="273"/>
      <c r="CF11" s="273" t="str">
        <f>IF(AND(L11="",O11=""),"",TIME($L11,$O11,0))</f>
        <v/>
      </c>
      <c r="CG11" s="273"/>
      <c r="CH11" s="273"/>
      <c r="CJ11" s="273" t="str">
        <f>IF(AND(T11="",W11=""),"",TIME($T11,$W11,0))</f>
        <v/>
      </c>
      <c r="CK11" s="273"/>
      <c r="CL11" s="273"/>
      <c r="CN11" s="281" t="e">
        <f>IF(CF11&gt;=CJ11,CJ11+$CC$9,CJ11)</f>
        <v>#VALUE!</v>
      </c>
      <c r="CO11" s="281"/>
      <c r="CP11" s="281"/>
    </row>
    <row r="12" spans="1:95" ht="15" customHeight="1" thickBot="1" x14ac:dyDescent="0.2">
      <c r="A12" s="293">
        <v>4.1666666666666664E-2</v>
      </c>
      <c r="B12" s="293"/>
      <c r="C12" s="293"/>
      <c r="D12" s="77"/>
      <c r="E12" s="74"/>
      <c r="W12" s="282" t="str">
        <f>IF(OR($G11="",$AB11=""),"",IF($BP11&gt;=5,"",IF($BP11*60+$BR11&gt;0,"運転時間は最低３時間のため始業点呼・就業点呼の＋２時間で５時間となります","")))</f>
        <v/>
      </c>
      <c r="X12" s="282"/>
      <c r="Y12" s="282"/>
      <c r="Z12" s="282"/>
      <c r="AA12" s="282"/>
      <c r="AB12" s="282"/>
      <c r="AC12" s="282"/>
      <c r="AD12" s="282"/>
      <c r="AE12" s="282"/>
      <c r="AF12" s="282"/>
      <c r="AG12" s="282"/>
      <c r="AH12" s="282"/>
      <c r="AI12" s="282"/>
      <c r="AJ12" s="282"/>
      <c r="AK12" s="282"/>
      <c r="AL12" s="282"/>
      <c r="AM12" s="282"/>
      <c r="AN12" s="282"/>
      <c r="AP12" s="78"/>
      <c r="AQ12" s="79"/>
      <c r="AR12" s="79"/>
      <c r="BP12" s="98"/>
      <c r="BQ12" s="98"/>
      <c r="BR12" s="99"/>
      <c r="BS12" s="99"/>
      <c r="BT12" s="99"/>
      <c r="BU12" s="99"/>
      <c r="BV12" s="99"/>
      <c r="BW12" s="99"/>
      <c r="BX12" s="99"/>
      <c r="BY12" s="99"/>
      <c r="BZ12" s="99"/>
      <c r="CA12" s="99"/>
      <c r="CC12" s="100"/>
      <c r="CD12" s="100"/>
    </row>
    <row r="13" spans="1:95" ht="18.75" customHeight="1" thickBot="1" x14ac:dyDescent="0.2">
      <c r="A13" s="9"/>
      <c r="B13" s="9"/>
      <c r="C13" s="9"/>
      <c r="D13" s="7" t="s">
        <v>27</v>
      </c>
      <c r="E13" s="74"/>
      <c r="G13" s="290" t="str">
        <f>IF(AND($L13="",$O13=""),"",IF($L13=0,TIME(23,$O13,0),TIME($L13-1,$O13,0)))</f>
        <v/>
      </c>
      <c r="H13" s="290"/>
      <c r="I13" s="290"/>
      <c r="J13" s="203" t="s">
        <v>40</v>
      </c>
      <c r="K13" s="203"/>
      <c r="L13" s="294"/>
      <c r="M13" s="295"/>
      <c r="N13" s="5" t="s">
        <v>47</v>
      </c>
      <c r="O13" s="288"/>
      <c r="P13" s="289"/>
      <c r="Q13" s="38" t="s">
        <v>22</v>
      </c>
      <c r="R13" s="203" t="s">
        <v>40</v>
      </c>
      <c r="S13" s="203"/>
      <c r="T13" s="276"/>
      <c r="U13" s="278"/>
      <c r="V13" s="5" t="s">
        <v>47</v>
      </c>
      <c r="W13" s="288"/>
      <c r="X13" s="289"/>
      <c r="Y13" s="38" t="s">
        <v>22</v>
      </c>
      <c r="Z13" s="203" t="s">
        <v>40</v>
      </c>
      <c r="AA13" s="203"/>
      <c r="AB13" s="290" t="str">
        <f>IF(AND($T13="",$W13=""),"",TIME(T13+1,W13,0))</f>
        <v/>
      </c>
      <c r="AC13" s="290"/>
      <c r="AD13" s="290"/>
      <c r="AE13" s="179"/>
      <c r="AF13" s="291">
        <f>IF(OR($G13="",$AB13=""),0,IF(OR($BP13&gt;20,AND($BP13=20,$BR13&gt;0)),"20時間を",IF($BR13=0,IF($BP13=0,0,IF($BP13&gt;5,$BP13,5)),IF($BP13&lt;5,5,$BP13))))</f>
        <v>0</v>
      </c>
      <c r="AG13" s="291"/>
      <c r="AH13" s="291"/>
      <c r="AI13" s="292">
        <f>IF(OR($G13="",AB13=""),0,IF($AF13="20時間を","超えています",IF($BP13&lt;5,0,$BR13)))</f>
        <v>0</v>
      </c>
      <c r="AJ13" s="292"/>
      <c r="AK13" s="292"/>
      <c r="AL13" s="292"/>
      <c r="AM13" s="75" t="s">
        <v>48</v>
      </c>
      <c r="AN13" s="284">
        <f>IF(AF13="20時間を",0,IF(OR($G13="",$AB13=""),0,HOUR($CC13)))</f>
        <v>0</v>
      </c>
      <c r="AO13" s="284"/>
      <c r="AP13" s="284"/>
      <c r="AQ13" s="285">
        <f>IF(AF13="20時間を",0,IF(OR($G13="",AB13=""),0,MINUTE($CC13)))</f>
        <v>0</v>
      </c>
      <c r="AR13" s="285"/>
      <c r="AS13" s="38" t="s">
        <v>49</v>
      </c>
      <c r="AT13" s="76"/>
      <c r="AU13" s="76"/>
      <c r="AV13" s="38"/>
      <c r="BP13" s="286">
        <f>IF(CJ13=CF13,26,HOUR(BY13)+2)</f>
        <v>26</v>
      </c>
      <c r="BQ13" s="286"/>
      <c r="BR13" s="287" t="e">
        <f>MINUTE(BU13)</f>
        <v>#VALUE!</v>
      </c>
      <c r="BS13" s="287"/>
      <c r="BT13" s="177" t="s">
        <v>31</v>
      </c>
      <c r="BU13" s="281" t="e">
        <f>+BY13+$CN$6</f>
        <v>#VALUE!</v>
      </c>
      <c r="BV13" s="281"/>
      <c r="BW13" s="281"/>
      <c r="BX13" s="177"/>
      <c r="BY13" s="281" t="e">
        <f>CN13-CF13</f>
        <v>#VALUE!</v>
      </c>
      <c r="BZ13" s="281"/>
      <c r="CA13" s="281"/>
      <c r="CC13" s="273" t="e">
        <f>BU13-(IF($AB13&gt;$G13,IF($G13&lt;$A$15,IF($AB13&lt;=$A$15,0,IF($AB13&lt;$A$14,$AB13-$A$15,$A$14-$A$15)),IF($G13&lt;$A$14,IF($AB13&lt;$A$14,$AB13-$G13,$A$14-$G13),0)),IF($G13&gt;=$A$14,IF($AB13&lt;$A$15,0,IF($AB13&lt;$A$14,$AB13-$A$15,$A$14-$A$15)),IF($G13&gt;$A$15,IF($AB13&lt;$A$15,$A$14-$G13,($A$14-$G13)+($AB13-$A$15)),$A$14-$A$15))))</f>
        <v>#VALUE!</v>
      </c>
      <c r="CD13" s="273"/>
      <c r="CF13" s="273" t="str">
        <f>IF(AND(L13="",O13=""),"",TIME($L13,$O13,0))</f>
        <v/>
      </c>
      <c r="CG13" s="273"/>
      <c r="CH13" s="273"/>
      <c r="CJ13" s="273" t="str">
        <f>IF(AND(T13="",W13=""),"",TIME($T13,$W13,0))</f>
        <v/>
      </c>
      <c r="CK13" s="273"/>
      <c r="CL13" s="273"/>
      <c r="CN13" s="281" t="e">
        <f>IF(CF13&gt;=CJ13,CJ13+$CC$9,CJ13)</f>
        <v>#VALUE!</v>
      </c>
      <c r="CO13" s="281"/>
      <c r="CP13" s="281"/>
    </row>
    <row r="14" spans="1:95" ht="15" customHeight="1" thickBot="1" x14ac:dyDescent="0.2">
      <c r="A14" s="293">
        <v>0.91666666666666663</v>
      </c>
      <c r="B14" s="293"/>
      <c r="C14" s="293"/>
      <c r="D14" s="77"/>
      <c r="E14" s="74"/>
      <c r="W14" s="282" t="str">
        <f>IF(OR($G13="",$AB13=""),"",IF($BP13&gt;=5,"",IF($BP13*60+$BR13&gt;0,"運転時間は最低３時間のため始業点呼・就業点呼の＋２時間で５時間となります","")))</f>
        <v/>
      </c>
      <c r="X14" s="282"/>
      <c r="Y14" s="282"/>
      <c r="Z14" s="282"/>
      <c r="AA14" s="282"/>
      <c r="AB14" s="282"/>
      <c r="AC14" s="282"/>
      <c r="AD14" s="282"/>
      <c r="AE14" s="282"/>
      <c r="AF14" s="282"/>
      <c r="AG14" s="282"/>
      <c r="AH14" s="282"/>
      <c r="AI14" s="282"/>
      <c r="AJ14" s="282"/>
      <c r="AK14" s="282"/>
      <c r="AL14" s="282"/>
      <c r="AM14" s="282"/>
      <c r="AN14" s="282"/>
      <c r="AP14" s="78"/>
      <c r="AQ14" s="79"/>
      <c r="AR14" s="79"/>
      <c r="BP14" s="98"/>
      <c r="BQ14" s="98"/>
      <c r="BR14" s="99"/>
      <c r="BS14" s="99"/>
      <c r="BT14" s="99"/>
      <c r="BU14" s="99"/>
      <c r="BV14" s="99"/>
      <c r="BW14" s="99"/>
      <c r="BX14" s="99"/>
      <c r="BY14" s="99"/>
      <c r="BZ14" s="99"/>
      <c r="CA14" s="99"/>
      <c r="CC14" s="100"/>
      <c r="CD14" s="100"/>
    </row>
    <row r="15" spans="1:95" ht="18.75" customHeight="1" thickBot="1" x14ac:dyDescent="0.2">
      <c r="A15" s="293">
        <v>0.20833333333333334</v>
      </c>
      <c r="B15" s="293"/>
      <c r="C15" s="293"/>
      <c r="D15" s="7" t="s">
        <v>29</v>
      </c>
      <c r="E15" s="74"/>
      <c r="G15" s="290" t="str">
        <f>IF(AND($L15="",$O15=""),"",IF($L15=0,TIME(23,$O15,0),TIME($L15-1,$O15,0)))</f>
        <v/>
      </c>
      <c r="H15" s="290"/>
      <c r="I15" s="290"/>
      <c r="J15" s="203" t="s">
        <v>40</v>
      </c>
      <c r="K15" s="203"/>
      <c r="L15" s="276"/>
      <c r="M15" s="278"/>
      <c r="N15" s="5" t="s">
        <v>47</v>
      </c>
      <c r="O15" s="288"/>
      <c r="P15" s="289"/>
      <c r="Q15" s="38" t="s">
        <v>22</v>
      </c>
      <c r="R15" s="203" t="s">
        <v>40</v>
      </c>
      <c r="S15" s="203"/>
      <c r="T15" s="276"/>
      <c r="U15" s="278"/>
      <c r="V15" s="5" t="s">
        <v>47</v>
      </c>
      <c r="W15" s="288"/>
      <c r="X15" s="289"/>
      <c r="Y15" s="38" t="s">
        <v>22</v>
      </c>
      <c r="Z15" s="203" t="s">
        <v>40</v>
      </c>
      <c r="AA15" s="203"/>
      <c r="AB15" s="290" t="str">
        <f>IF(AND($T15="",$W15=""),"",TIME(T15+1,W15,0))</f>
        <v/>
      </c>
      <c r="AC15" s="290"/>
      <c r="AD15" s="290"/>
      <c r="AE15" s="179"/>
      <c r="AF15" s="291">
        <f>IF(OR($G15="",$AB15=""),0,IF(OR($BP15&gt;20,AND($BP15=20,$BR15&gt;0)),"20時間を",IF($BR15=0,IF($BP15=0,0,IF($BP15&gt;5,$BP15,5)),IF($BP15&lt;5,5,$BP15))))</f>
        <v>0</v>
      </c>
      <c r="AG15" s="291"/>
      <c r="AH15" s="291"/>
      <c r="AI15" s="292">
        <f>IF(OR($G15="",AB15=""),0,IF($AF15="20時間を","超えています",IF($BP15&lt;5,0,$BR15)))</f>
        <v>0</v>
      </c>
      <c r="AJ15" s="292"/>
      <c r="AK15" s="292"/>
      <c r="AL15" s="292"/>
      <c r="AM15" s="75" t="s">
        <v>48</v>
      </c>
      <c r="AN15" s="284">
        <f>IF(AF15="20時間を",0,IF(OR($G15="",$AB15=""),0,HOUR($CC15)))</f>
        <v>0</v>
      </c>
      <c r="AO15" s="284"/>
      <c r="AP15" s="284"/>
      <c r="AQ15" s="285">
        <f>IF(AF15="20時間を",0,IF(OR($G15="",AB15=""),0,MINUTE($CC15)))</f>
        <v>0</v>
      </c>
      <c r="AR15" s="285"/>
      <c r="AS15" s="38" t="s">
        <v>49</v>
      </c>
      <c r="AT15" s="76"/>
      <c r="AU15" s="76"/>
      <c r="AV15" s="38"/>
      <c r="BP15" s="286">
        <f>IF(CJ15=CF15,26,HOUR(BY15)+2)</f>
        <v>26</v>
      </c>
      <c r="BQ15" s="286"/>
      <c r="BR15" s="287" t="e">
        <f>MINUTE(BU15)</f>
        <v>#VALUE!</v>
      </c>
      <c r="BS15" s="287"/>
      <c r="BT15" s="177" t="s">
        <v>31</v>
      </c>
      <c r="BU15" s="281" t="e">
        <f>+BY15+$CN$6</f>
        <v>#VALUE!</v>
      </c>
      <c r="BV15" s="281"/>
      <c r="BW15" s="281"/>
      <c r="BX15" s="177"/>
      <c r="BY15" s="281" t="e">
        <f>CN15-CF15</f>
        <v>#VALUE!</v>
      </c>
      <c r="BZ15" s="281"/>
      <c r="CA15" s="281"/>
      <c r="CC15" s="273" t="e">
        <f>BU15-(IF($AB15&gt;$G15,IF($G15&lt;$A$15,IF($AB15&lt;=$A$15,0,IF($AB15&lt;$A$14,$AB15-$A$15,$A$14-$A$15)),IF($G15&lt;$A$14,IF($AB15&lt;$A$14,$AB15-$G15,$A$14-$G15),0)),IF($G15&gt;=$A$14,IF($AB15&lt;$A$15,0,IF($AB15&lt;$A$14,$AB15-$A$15,$A$14-$A$15)),IF($G15&gt;$A$15,IF($AB15&lt;$A$15,$A$14-$G15,($A$14-$G15)+($AB15-$A$15)),$A$14-$A$15))))</f>
        <v>#VALUE!</v>
      </c>
      <c r="CD15" s="273"/>
      <c r="CF15" s="273" t="str">
        <f>IF(AND(L15="",O15=""),"",TIME($L15,$O15,0))</f>
        <v/>
      </c>
      <c r="CG15" s="273"/>
      <c r="CH15" s="273"/>
      <c r="CJ15" s="273" t="str">
        <f>IF(AND(T15="",W15=""),"",TIME($T15,$W15,0))</f>
        <v/>
      </c>
      <c r="CK15" s="273"/>
      <c r="CL15" s="273"/>
      <c r="CN15" s="281" t="e">
        <f>IF(CF15&gt;=CJ15,CJ15+$CC$9,CJ15)</f>
        <v>#VALUE!</v>
      </c>
      <c r="CO15" s="281"/>
      <c r="CP15" s="281"/>
    </row>
    <row r="16" spans="1:95" ht="12.75" customHeight="1" thickBot="1" x14ac:dyDescent="0.2">
      <c r="A16" s="8"/>
      <c r="B16" s="8"/>
      <c r="C16" s="8"/>
      <c r="W16" s="282" t="str">
        <f>IF(OR($G15="",$AB15=""),"",IF($BP15&gt;=5,"",IF($BP15*60+$BR15&gt;0,"運転時間は最低３時間のため始業点呼・就業点呼の＋２時間で５時間となります","")))</f>
        <v/>
      </c>
      <c r="X16" s="282"/>
      <c r="Y16" s="282"/>
      <c r="Z16" s="282"/>
      <c r="AA16" s="282"/>
      <c r="AB16" s="282"/>
      <c r="AC16" s="282"/>
      <c r="AD16" s="282"/>
      <c r="AE16" s="282"/>
      <c r="AF16" s="282"/>
      <c r="AG16" s="282"/>
      <c r="AH16" s="282"/>
      <c r="AI16" s="282"/>
      <c r="AJ16" s="282"/>
      <c r="AK16" s="282"/>
      <c r="AL16" s="282"/>
      <c r="AM16" s="282"/>
      <c r="AN16" s="282"/>
    </row>
    <row r="17" spans="1:94" ht="18.75" customHeight="1" thickBot="1" x14ac:dyDescent="0.2">
      <c r="A17" s="293">
        <v>0.20833333333333334</v>
      </c>
      <c r="B17" s="293"/>
      <c r="C17" s="293"/>
      <c r="D17" s="7" t="s">
        <v>115</v>
      </c>
      <c r="E17" s="74"/>
      <c r="G17" s="290" t="str">
        <f>IF(AND($L17="",$O17=""),"",IF($L17=0,TIME(23,$O17,0),TIME($L17-1,$O17,0)))</f>
        <v/>
      </c>
      <c r="H17" s="290"/>
      <c r="I17" s="290"/>
      <c r="J17" s="203" t="s">
        <v>40</v>
      </c>
      <c r="K17" s="203"/>
      <c r="L17" s="276"/>
      <c r="M17" s="278"/>
      <c r="N17" s="5" t="s">
        <v>47</v>
      </c>
      <c r="O17" s="288"/>
      <c r="P17" s="289"/>
      <c r="Q17" s="38" t="s">
        <v>22</v>
      </c>
      <c r="R17" s="203" t="s">
        <v>40</v>
      </c>
      <c r="S17" s="203"/>
      <c r="T17" s="276"/>
      <c r="U17" s="278"/>
      <c r="V17" s="5" t="s">
        <v>47</v>
      </c>
      <c r="W17" s="288"/>
      <c r="X17" s="289"/>
      <c r="Y17" s="38" t="s">
        <v>22</v>
      </c>
      <c r="Z17" s="203" t="s">
        <v>40</v>
      </c>
      <c r="AA17" s="203"/>
      <c r="AB17" s="290" t="str">
        <f>IF(AND($T17="",$W17=""),"",TIME(T17+1,W17,0))</f>
        <v/>
      </c>
      <c r="AC17" s="290"/>
      <c r="AD17" s="290"/>
      <c r="AE17" s="179"/>
      <c r="AF17" s="291">
        <f>IF(OR($G17="",$AB17=""),0,IF(OR($BP17&gt;20,AND($BP17=20,$BR17&gt;0)),"20時間を",IF($BR17=0,IF($BP17=0,0,IF($BP17&gt;5,$BP17,5)),IF($BP17&lt;5,5,$BP17))))</f>
        <v>0</v>
      </c>
      <c r="AG17" s="291"/>
      <c r="AH17" s="291"/>
      <c r="AI17" s="292">
        <f>IF(OR($G17="",AB17=""),0,IF($AF17="20時間を","超えています",IF($BP17&lt;5,0,$BR17)))</f>
        <v>0</v>
      </c>
      <c r="AJ17" s="292"/>
      <c r="AK17" s="292"/>
      <c r="AL17" s="292"/>
      <c r="AM17" s="75" t="s">
        <v>48</v>
      </c>
      <c r="AN17" s="284">
        <f>IF(AF17="20時間を",0,IF(OR($G17="",$AB17=""),0,HOUR($CC17)))</f>
        <v>0</v>
      </c>
      <c r="AO17" s="284"/>
      <c r="AP17" s="284"/>
      <c r="AQ17" s="285">
        <f>IF(AF17="20時間を",0,IF(OR($G17="",AB17=""),0,MINUTE($CC17)))</f>
        <v>0</v>
      </c>
      <c r="AR17" s="285"/>
      <c r="AS17" s="38" t="s">
        <v>49</v>
      </c>
      <c r="AT17" s="76"/>
      <c r="AU17" s="76"/>
      <c r="AV17" s="38"/>
      <c r="BP17" s="286">
        <f>IF(CJ17=CF17,26,HOUR(BY17)+2)</f>
        <v>26</v>
      </c>
      <c r="BQ17" s="286"/>
      <c r="BR17" s="287" t="e">
        <f>MINUTE(BU17)</f>
        <v>#VALUE!</v>
      </c>
      <c r="BS17" s="287"/>
      <c r="BT17" s="177" t="s">
        <v>31</v>
      </c>
      <c r="BU17" s="281" t="e">
        <f>+BY17+$CN$6</f>
        <v>#VALUE!</v>
      </c>
      <c r="BV17" s="281"/>
      <c r="BW17" s="281"/>
      <c r="BX17" s="177"/>
      <c r="BY17" s="281" t="e">
        <f>CN17-CF17</f>
        <v>#VALUE!</v>
      </c>
      <c r="BZ17" s="281"/>
      <c r="CA17" s="281"/>
      <c r="CC17" s="273" t="e">
        <f>BU17-(IF($AB17&gt;$G17,IF($G17&lt;$A$15,IF($AB17&lt;=$A$15,0,IF($AB17&lt;$A$14,$AB17-$A$15,$A$14-$A$15)),IF($G17&lt;$A$14,IF($AB17&lt;$A$14,$AB17-$G17,$A$14-$G17),0)),IF($G17&gt;=$A$14,IF($AB17&lt;$A$15,0,IF($AB17&lt;$A$14,$AB17-$A$15,$A$14-$A$15)),IF($G17&gt;$A$15,IF($AB17&lt;$A$15,$A$14-$G17,($A$14-$G17)+($AB17-$A$15)),$A$14-$A$15))))</f>
        <v>#VALUE!</v>
      </c>
      <c r="CD17" s="273"/>
      <c r="CF17" s="273" t="str">
        <f>IF(AND(L17="",O17=""),"",TIME($L17,$O17,0))</f>
        <v/>
      </c>
      <c r="CG17" s="273"/>
      <c r="CH17" s="273"/>
      <c r="CJ17" s="273" t="str">
        <f>IF(AND(T17="",W17=""),"",TIME($T17,$W17,0))</f>
        <v/>
      </c>
      <c r="CK17" s="273"/>
      <c r="CL17" s="273"/>
      <c r="CN17" s="281" t="e">
        <f>IF(CF17&gt;=CJ17,CJ17+$CC$9,CJ17)</f>
        <v>#VALUE!</v>
      </c>
      <c r="CO17" s="281"/>
      <c r="CP17" s="281"/>
    </row>
    <row r="18" spans="1:94" ht="12.75" customHeight="1" thickBot="1" x14ac:dyDescent="0.2">
      <c r="A18" s="8"/>
      <c r="B18" s="8"/>
      <c r="C18" s="8"/>
      <c r="W18" s="282" t="str">
        <f>IF(OR($G17="",$AB17=""),"",IF($BP17&gt;=5,"",IF($BP17*60+$BR17&gt;0,"運転時間は最低３時間のため始業点呼・就業点呼の＋２時間で５時間となります","")))</f>
        <v/>
      </c>
      <c r="X18" s="282"/>
      <c r="Y18" s="282"/>
      <c r="Z18" s="282"/>
      <c r="AA18" s="282"/>
      <c r="AB18" s="282"/>
      <c r="AC18" s="282"/>
      <c r="AD18" s="282"/>
      <c r="AE18" s="282"/>
      <c r="AF18" s="282"/>
      <c r="AG18" s="282"/>
      <c r="AH18" s="282"/>
      <c r="AI18" s="282"/>
      <c r="AJ18" s="282"/>
      <c r="AK18" s="282"/>
      <c r="AL18" s="282"/>
      <c r="AM18" s="282"/>
      <c r="AN18" s="282"/>
    </row>
    <row r="19" spans="1:94" ht="18.75" customHeight="1" thickBot="1" x14ac:dyDescent="0.2">
      <c r="A19" s="293">
        <v>0.20833333333333334</v>
      </c>
      <c r="B19" s="293"/>
      <c r="C19" s="293"/>
      <c r="D19" s="7" t="s">
        <v>116</v>
      </c>
      <c r="E19" s="74"/>
      <c r="G19" s="290" t="str">
        <f>IF(AND($L19="",$O19=""),"",IF($L19=0,TIME(23,$O19,0),TIME($L19-1,$O19,0)))</f>
        <v/>
      </c>
      <c r="H19" s="290"/>
      <c r="I19" s="290"/>
      <c r="J19" s="203" t="s">
        <v>40</v>
      </c>
      <c r="K19" s="203"/>
      <c r="L19" s="276"/>
      <c r="M19" s="278"/>
      <c r="N19" s="5" t="s">
        <v>47</v>
      </c>
      <c r="O19" s="288"/>
      <c r="P19" s="289"/>
      <c r="Q19" s="38" t="s">
        <v>22</v>
      </c>
      <c r="R19" s="203" t="s">
        <v>40</v>
      </c>
      <c r="S19" s="203"/>
      <c r="T19" s="276"/>
      <c r="U19" s="278"/>
      <c r="V19" s="5" t="s">
        <v>47</v>
      </c>
      <c r="W19" s="288"/>
      <c r="X19" s="289"/>
      <c r="Y19" s="38" t="s">
        <v>22</v>
      </c>
      <c r="Z19" s="203" t="s">
        <v>40</v>
      </c>
      <c r="AA19" s="203"/>
      <c r="AB19" s="290" t="str">
        <f>IF(AND($T19="",$W19=""),"",TIME(T19+1,W19,0))</f>
        <v/>
      </c>
      <c r="AC19" s="290"/>
      <c r="AD19" s="290"/>
      <c r="AE19" s="179"/>
      <c r="AF19" s="291">
        <f>IF(OR($G19="",$AB19=""),0,IF(OR($BP19&gt;20,AND($BP19=20,$BR19&gt;0)),"20時間を",IF($BR19=0,IF($BP19=0,0,IF($BP19&gt;5,$BP19,5)),IF($BP19&lt;5,5,$BP19))))</f>
        <v>0</v>
      </c>
      <c r="AG19" s="291"/>
      <c r="AH19" s="291"/>
      <c r="AI19" s="292">
        <f>IF(OR($G19="",AB19=""),0,IF($AF19="20時間を","超えています",IF($BP19&lt;5,0,$BR19)))</f>
        <v>0</v>
      </c>
      <c r="AJ19" s="292"/>
      <c r="AK19" s="292"/>
      <c r="AL19" s="292"/>
      <c r="AM19" s="75" t="s">
        <v>48</v>
      </c>
      <c r="AN19" s="284">
        <f>IF(AF19="20時間を",0,IF(OR($G19="",$AB19=""),0,HOUR($CC19)))</f>
        <v>0</v>
      </c>
      <c r="AO19" s="284"/>
      <c r="AP19" s="284"/>
      <c r="AQ19" s="285">
        <f>IF(AF19="20時間を",0,IF(OR($G19="",AB19=""),0,MINUTE($CC19)))</f>
        <v>0</v>
      </c>
      <c r="AR19" s="285"/>
      <c r="AS19" s="38" t="s">
        <v>49</v>
      </c>
      <c r="AT19" s="76"/>
      <c r="AU19" s="76"/>
      <c r="AV19" s="38"/>
      <c r="BP19" s="286">
        <f>IF(CJ19=CF19,26,HOUR(BY19)+2)</f>
        <v>26</v>
      </c>
      <c r="BQ19" s="286"/>
      <c r="BR19" s="287" t="e">
        <f>MINUTE(BU19)</f>
        <v>#VALUE!</v>
      </c>
      <c r="BS19" s="287"/>
      <c r="BT19" s="177" t="s">
        <v>31</v>
      </c>
      <c r="BU19" s="281" t="e">
        <f>+BY19+$CN$6</f>
        <v>#VALUE!</v>
      </c>
      <c r="BV19" s="281"/>
      <c r="BW19" s="281"/>
      <c r="BX19" s="177"/>
      <c r="BY19" s="281" t="e">
        <f>CN19-CF19</f>
        <v>#VALUE!</v>
      </c>
      <c r="BZ19" s="281"/>
      <c r="CA19" s="281"/>
      <c r="CC19" s="273" t="e">
        <f>BU19-(IF($AB19&gt;$G19,IF($G19&lt;$A$15,IF($AB19&lt;=$A$15,0,IF($AB19&lt;$A$14,$AB19-$A$15,$A$14-$A$15)),IF($G19&lt;$A$14,IF($AB19&lt;$A$14,$AB19-$G19,$A$14-$G19),0)),IF($G19&gt;=$A$14,IF($AB19&lt;$A$15,0,IF($AB19&lt;$A$14,$AB19-$A$15,$A$14-$A$15)),IF($G19&gt;$A$15,IF($AB19&lt;$A$15,$A$14-$G19,($A$14-$G19)+($AB19-$A$15)),$A$14-$A$15))))</f>
        <v>#VALUE!</v>
      </c>
      <c r="CD19" s="273"/>
      <c r="CF19" s="273" t="str">
        <f>IF(AND(L19="",O19=""),"",TIME($L19,$O19,0))</f>
        <v/>
      </c>
      <c r="CG19" s="273"/>
      <c r="CH19" s="273"/>
      <c r="CJ19" s="273" t="str">
        <f>IF(AND(T19="",W19=""),"",TIME($T19,$W19,0))</f>
        <v/>
      </c>
      <c r="CK19" s="273"/>
      <c r="CL19" s="273"/>
      <c r="CN19" s="281" t="e">
        <f>IF(CF19&gt;=CJ19,CJ19+$CC$9,CJ19)</f>
        <v>#VALUE!</v>
      </c>
      <c r="CO19" s="281"/>
      <c r="CP19" s="281"/>
    </row>
    <row r="20" spans="1:94" ht="12.75" customHeight="1" thickBot="1" x14ac:dyDescent="0.2">
      <c r="A20" s="8"/>
      <c r="B20" s="8"/>
      <c r="C20" s="8"/>
      <c r="W20" s="282" t="str">
        <f>IF(OR($G19="",$AB19=""),"",IF($BP19&gt;=5,"",IF($BP19*60+$BR19&gt;0,"運転時間は最低３時間のため始業点呼・就業点呼の＋２時間で５時間となります","")))</f>
        <v/>
      </c>
      <c r="X20" s="282"/>
      <c r="Y20" s="282"/>
      <c r="Z20" s="282"/>
      <c r="AA20" s="282"/>
      <c r="AB20" s="282"/>
      <c r="AC20" s="282"/>
      <c r="AD20" s="282"/>
      <c r="AE20" s="282"/>
      <c r="AF20" s="282"/>
      <c r="AG20" s="282"/>
      <c r="AH20" s="282"/>
      <c r="AI20" s="282"/>
      <c r="AJ20" s="282"/>
      <c r="AK20" s="282"/>
      <c r="AL20" s="282"/>
      <c r="AM20" s="282"/>
      <c r="AN20" s="282"/>
    </row>
    <row r="21" spans="1:94" ht="18.75" customHeight="1" thickBot="1" x14ac:dyDescent="0.2">
      <c r="A21" s="293">
        <v>0.20833333333333334</v>
      </c>
      <c r="B21" s="293"/>
      <c r="C21" s="293"/>
      <c r="D21" s="7" t="s">
        <v>117</v>
      </c>
      <c r="E21" s="74"/>
      <c r="G21" s="290" t="str">
        <f>IF(AND($L21="",$O21=""),"",IF($L21=0,TIME(23,$O21,0),TIME($L21-1,$O21,0)))</f>
        <v/>
      </c>
      <c r="H21" s="290"/>
      <c r="I21" s="290"/>
      <c r="J21" s="203" t="s">
        <v>40</v>
      </c>
      <c r="K21" s="203"/>
      <c r="L21" s="276"/>
      <c r="M21" s="278"/>
      <c r="N21" s="5" t="s">
        <v>47</v>
      </c>
      <c r="O21" s="288"/>
      <c r="P21" s="289"/>
      <c r="Q21" s="38" t="s">
        <v>22</v>
      </c>
      <c r="R21" s="203" t="s">
        <v>40</v>
      </c>
      <c r="S21" s="203"/>
      <c r="T21" s="276"/>
      <c r="U21" s="278"/>
      <c r="V21" s="5" t="s">
        <v>47</v>
      </c>
      <c r="W21" s="288"/>
      <c r="X21" s="289"/>
      <c r="Y21" s="38" t="s">
        <v>22</v>
      </c>
      <c r="Z21" s="203" t="s">
        <v>40</v>
      </c>
      <c r="AA21" s="203"/>
      <c r="AB21" s="290" t="str">
        <f>IF(AND($T21="",$W21=""),"",TIME(T21+1,W21,0))</f>
        <v/>
      </c>
      <c r="AC21" s="290"/>
      <c r="AD21" s="290"/>
      <c r="AE21" s="179"/>
      <c r="AF21" s="291">
        <f>IF(OR($G21="",$AB21=""),0,IF(OR($BP21&gt;20,AND($BP21=20,$BR21&gt;0)),"20時間を",IF($BR21=0,IF($BP21=0,0,IF($BP21&gt;5,$BP21,5)),IF($BP21&lt;5,5,$BP21))))</f>
        <v>0</v>
      </c>
      <c r="AG21" s="291"/>
      <c r="AH21" s="291"/>
      <c r="AI21" s="292">
        <f>IF(OR($G21="",AB21=""),0,IF($AF21="20時間を","超えています",IF($BP21&lt;5,0,$BR21)))</f>
        <v>0</v>
      </c>
      <c r="AJ21" s="292"/>
      <c r="AK21" s="292"/>
      <c r="AL21" s="292"/>
      <c r="AM21" s="75" t="s">
        <v>48</v>
      </c>
      <c r="AN21" s="284">
        <f>IF(AF21="20時間を",0,IF(OR($G21="",$AB21=""),0,HOUR($CC21)))</f>
        <v>0</v>
      </c>
      <c r="AO21" s="284"/>
      <c r="AP21" s="284"/>
      <c r="AQ21" s="285">
        <f>IF(AF21="20時間を",0,IF(OR($G21="",AB21=""),0,MINUTE($CC21)))</f>
        <v>0</v>
      </c>
      <c r="AR21" s="285"/>
      <c r="AS21" s="38" t="s">
        <v>49</v>
      </c>
      <c r="AT21" s="76"/>
      <c r="AU21" s="76"/>
      <c r="AV21" s="38"/>
      <c r="BP21" s="286">
        <f>IF(CJ21=CF21,26,HOUR(BY21)+2)</f>
        <v>26</v>
      </c>
      <c r="BQ21" s="286"/>
      <c r="BR21" s="287" t="e">
        <f>MINUTE(BU21)</f>
        <v>#VALUE!</v>
      </c>
      <c r="BS21" s="287"/>
      <c r="BT21" s="177" t="s">
        <v>31</v>
      </c>
      <c r="BU21" s="281" t="e">
        <f>+BY21+$CN$6</f>
        <v>#VALUE!</v>
      </c>
      <c r="BV21" s="281"/>
      <c r="BW21" s="281"/>
      <c r="BX21" s="177"/>
      <c r="BY21" s="281" t="e">
        <f>CN21-CF21</f>
        <v>#VALUE!</v>
      </c>
      <c r="BZ21" s="281"/>
      <c r="CA21" s="281"/>
      <c r="CC21" s="273" t="e">
        <f>BU21-(IF($AB21&gt;$G21,IF($G21&lt;$A$15,IF($AB21&lt;=$A$15,0,IF($AB21&lt;$A$14,$AB21-$A$15,$A$14-$A$15)),IF($G21&lt;$A$14,IF($AB21&lt;$A$14,$AB21-$G21,$A$14-$G21),0)),IF($G21&gt;=$A$14,IF($AB21&lt;$A$15,0,IF($AB21&lt;$A$14,$AB21-$A$15,$A$14-$A$15)),IF($G21&gt;$A$15,IF($AB21&lt;$A$15,$A$14-$G21,($A$14-$G21)+($AB21-$A$15)),$A$14-$A$15))))</f>
        <v>#VALUE!</v>
      </c>
      <c r="CD21" s="273"/>
      <c r="CF21" s="273" t="str">
        <f>IF(AND(L21="",O21=""),"",TIME($L21,$O21,0))</f>
        <v/>
      </c>
      <c r="CG21" s="273"/>
      <c r="CH21" s="273"/>
      <c r="CJ21" s="273" t="str">
        <f>IF(AND(T21="",W21=""),"",TIME($T21,$W21,0))</f>
        <v/>
      </c>
      <c r="CK21" s="273"/>
      <c r="CL21" s="273"/>
      <c r="CN21" s="281" t="e">
        <f>IF(CF21&gt;=CJ21,CJ21+$CC$9,CJ21)</f>
        <v>#VALUE!</v>
      </c>
      <c r="CO21" s="281"/>
      <c r="CP21" s="281"/>
    </row>
    <row r="22" spans="1:94" ht="12.75" customHeight="1" thickBot="1" x14ac:dyDescent="0.2">
      <c r="A22" s="8"/>
      <c r="B22" s="8"/>
      <c r="C22" s="8"/>
      <c r="W22" s="282" t="str">
        <f>IF(OR($G21="",$AB21=""),"",IF($BP21&gt;=5,"",IF($BP21*60+$BR21&gt;0,"運転時間は最低３時間のため始業点呼・就業点呼の＋２時間で５時間となります","")))</f>
        <v/>
      </c>
      <c r="X22" s="282"/>
      <c r="Y22" s="282"/>
      <c r="Z22" s="282"/>
      <c r="AA22" s="282"/>
      <c r="AB22" s="282"/>
      <c r="AC22" s="282"/>
      <c r="AD22" s="282"/>
      <c r="AE22" s="282"/>
      <c r="AF22" s="282"/>
      <c r="AG22" s="282"/>
      <c r="AH22" s="282"/>
      <c r="AI22" s="282"/>
      <c r="AJ22" s="282"/>
      <c r="AK22" s="282"/>
      <c r="AL22" s="282"/>
      <c r="AM22" s="282"/>
      <c r="AN22" s="282"/>
    </row>
    <row r="23" spans="1:94" ht="18.75" customHeight="1" thickBot="1" x14ac:dyDescent="0.2">
      <c r="A23" s="293">
        <v>0.20833333333333334</v>
      </c>
      <c r="B23" s="293"/>
      <c r="C23" s="293"/>
      <c r="D23" s="7" t="s">
        <v>118</v>
      </c>
      <c r="E23" s="74"/>
      <c r="G23" s="290" t="str">
        <f>IF(AND($L23="",$O23=""),"",IF($L23=0,TIME(23,$O23,0),TIME($L23-1,$O23,0)))</f>
        <v/>
      </c>
      <c r="H23" s="290"/>
      <c r="I23" s="290"/>
      <c r="J23" s="203" t="s">
        <v>40</v>
      </c>
      <c r="K23" s="203"/>
      <c r="L23" s="276"/>
      <c r="M23" s="278"/>
      <c r="N23" s="5" t="s">
        <v>47</v>
      </c>
      <c r="O23" s="288"/>
      <c r="P23" s="289"/>
      <c r="Q23" s="38" t="s">
        <v>22</v>
      </c>
      <c r="R23" s="203" t="s">
        <v>40</v>
      </c>
      <c r="S23" s="203"/>
      <c r="T23" s="276"/>
      <c r="U23" s="278"/>
      <c r="V23" s="5" t="s">
        <v>47</v>
      </c>
      <c r="W23" s="288"/>
      <c r="X23" s="289"/>
      <c r="Y23" s="38" t="s">
        <v>22</v>
      </c>
      <c r="Z23" s="203" t="s">
        <v>40</v>
      </c>
      <c r="AA23" s="203"/>
      <c r="AB23" s="290" t="str">
        <f>IF(AND($T23="",$W23=""),"",TIME(T23+1,W23,0))</f>
        <v/>
      </c>
      <c r="AC23" s="290"/>
      <c r="AD23" s="290"/>
      <c r="AE23" s="179"/>
      <c r="AF23" s="291">
        <f>IF(OR($G23="",$AB23=""),0,IF(OR($BP23&gt;20,AND($BP23=20,$BR23&gt;0)),"20時間を",IF($BR23=0,IF($BP23=0,0,IF($BP23&gt;5,$BP23,5)),IF($BP23&lt;5,5,$BP23))))</f>
        <v>0</v>
      </c>
      <c r="AG23" s="291"/>
      <c r="AH23" s="291"/>
      <c r="AI23" s="292">
        <f>IF(OR($G23="",AB23=""),0,IF($AF23="20時間を","超えています",IF($BP23&lt;5,0,$BR23)))</f>
        <v>0</v>
      </c>
      <c r="AJ23" s="292"/>
      <c r="AK23" s="292"/>
      <c r="AL23" s="292"/>
      <c r="AM23" s="75" t="s">
        <v>48</v>
      </c>
      <c r="AN23" s="284">
        <f>IF(AF23="20時間を",0,IF(OR($G23="",$AB23=""),0,HOUR($CC23)))</f>
        <v>0</v>
      </c>
      <c r="AO23" s="284"/>
      <c r="AP23" s="284"/>
      <c r="AQ23" s="285">
        <f>IF(AF23="20時間を",0,IF(OR($G23="",AB23=""),0,MINUTE($CC23)))</f>
        <v>0</v>
      </c>
      <c r="AR23" s="285"/>
      <c r="AS23" s="38" t="s">
        <v>49</v>
      </c>
      <c r="AT23" s="76"/>
      <c r="AU23" s="76"/>
      <c r="AV23" s="38"/>
      <c r="BP23" s="286">
        <f>IF(CJ23=CF23,26,HOUR(BY23)+2)</f>
        <v>26</v>
      </c>
      <c r="BQ23" s="286"/>
      <c r="BR23" s="287" t="e">
        <f>MINUTE(BU23)</f>
        <v>#VALUE!</v>
      </c>
      <c r="BS23" s="287"/>
      <c r="BT23" s="177" t="s">
        <v>31</v>
      </c>
      <c r="BU23" s="281" t="e">
        <f>+BY23+$CN$6</f>
        <v>#VALUE!</v>
      </c>
      <c r="BV23" s="281"/>
      <c r="BW23" s="281"/>
      <c r="BX23" s="177"/>
      <c r="BY23" s="281" t="e">
        <f>CN23-CF23</f>
        <v>#VALUE!</v>
      </c>
      <c r="BZ23" s="281"/>
      <c r="CA23" s="281"/>
      <c r="CC23" s="273" t="e">
        <f>BU23-(IF($AB23&gt;$G23,IF($G23&lt;$A$15,IF($AB23&lt;=$A$15,0,IF($AB23&lt;$A$14,$AB23-$A$15,$A$14-$A$15)),IF($G23&lt;$A$14,IF($AB23&lt;$A$14,$AB23-$G23,$A$14-$G23),0)),IF($G23&gt;=$A$14,IF($AB23&lt;$A$15,0,IF($AB23&lt;$A$14,$AB23-$A$15,$A$14-$A$15)),IF($G23&gt;$A$15,IF($AB23&lt;$A$15,$A$14-$G23,($A$14-$G23)+($AB23-$A$15)),$A$14-$A$15))))</f>
        <v>#VALUE!</v>
      </c>
      <c r="CD23" s="273"/>
      <c r="CF23" s="273" t="str">
        <f>IF(AND(L23="",O23=""),"",TIME($L23,$O23,0))</f>
        <v/>
      </c>
      <c r="CG23" s="273"/>
      <c r="CH23" s="273"/>
      <c r="CJ23" s="273" t="str">
        <f>IF(AND(T23="",W23=""),"",TIME($T23,$W23,0))</f>
        <v/>
      </c>
      <c r="CK23" s="273"/>
      <c r="CL23" s="273"/>
      <c r="CN23" s="281" t="e">
        <f>IF(CF23&gt;=CJ23,CJ23+$CC$9,CJ23)</f>
        <v>#VALUE!</v>
      </c>
      <c r="CO23" s="281"/>
      <c r="CP23" s="281"/>
    </row>
    <row r="24" spans="1:94" ht="12.75" customHeight="1" thickBot="1" x14ac:dyDescent="0.2">
      <c r="A24" s="8"/>
      <c r="B24" s="8"/>
      <c r="C24" s="8"/>
      <c r="W24" s="282" t="str">
        <f>IF(OR($G23="",$AB23=""),"",IF($BP23&gt;=5,"",IF($BP23*60+$BR23&gt;0,"運転時間は最低３時間のため始業点呼・就業点呼の＋２時間で５時間となります","")))</f>
        <v/>
      </c>
      <c r="X24" s="282"/>
      <c r="Y24" s="282"/>
      <c r="Z24" s="282"/>
      <c r="AA24" s="282"/>
      <c r="AB24" s="282"/>
      <c r="AC24" s="282"/>
      <c r="AD24" s="282"/>
      <c r="AE24" s="282"/>
      <c r="AF24" s="282"/>
      <c r="AG24" s="282"/>
      <c r="AH24" s="282"/>
      <c r="AI24" s="282"/>
      <c r="AJ24" s="282"/>
      <c r="AK24" s="282"/>
      <c r="AL24" s="282"/>
      <c r="AM24" s="282"/>
      <c r="AN24" s="282"/>
    </row>
    <row r="25" spans="1:94" ht="18.75" customHeight="1" thickBot="1" x14ac:dyDescent="0.2">
      <c r="A25" s="293">
        <v>0.20833333333333334</v>
      </c>
      <c r="B25" s="293"/>
      <c r="C25" s="293"/>
      <c r="D25" s="7" t="s">
        <v>119</v>
      </c>
      <c r="E25" s="74"/>
      <c r="G25" s="290" t="str">
        <f>IF(AND($L25="",$O25=""),"",IF($L25=0,TIME(23,$O25,0),TIME($L25-1,$O25,0)))</f>
        <v/>
      </c>
      <c r="H25" s="290"/>
      <c r="I25" s="290"/>
      <c r="J25" s="203" t="s">
        <v>40</v>
      </c>
      <c r="K25" s="203"/>
      <c r="L25" s="276"/>
      <c r="M25" s="278"/>
      <c r="N25" s="5" t="s">
        <v>47</v>
      </c>
      <c r="O25" s="288"/>
      <c r="P25" s="289"/>
      <c r="Q25" s="38" t="s">
        <v>22</v>
      </c>
      <c r="R25" s="203" t="s">
        <v>40</v>
      </c>
      <c r="S25" s="203"/>
      <c r="T25" s="276"/>
      <c r="U25" s="278"/>
      <c r="V25" s="5" t="s">
        <v>47</v>
      </c>
      <c r="W25" s="288"/>
      <c r="X25" s="289"/>
      <c r="Y25" s="38" t="s">
        <v>22</v>
      </c>
      <c r="Z25" s="203" t="s">
        <v>40</v>
      </c>
      <c r="AA25" s="203"/>
      <c r="AB25" s="290" t="str">
        <f>IF(AND($T25="",$W25=""),"",TIME(T25+1,W25,0))</f>
        <v/>
      </c>
      <c r="AC25" s="290"/>
      <c r="AD25" s="290"/>
      <c r="AE25" s="179"/>
      <c r="AF25" s="291">
        <f>IF(OR($G25="",$AB25=""),0,IF(OR($BP25&gt;20,AND($BP25=20,$BR25&gt;0)),"20時間を",IF($BR25=0,IF($BP25=0,0,IF($BP25&gt;5,$BP25,5)),IF($BP25&lt;5,5,$BP25))))</f>
        <v>0</v>
      </c>
      <c r="AG25" s="291"/>
      <c r="AH25" s="291"/>
      <c r="AI25" s="292">
        <f>IF(OR($G25="",AB25=""),0,IF($AF25="20時間を","超えています",IF($BP25&lt;5,0,$BR25)))</f>
        <v>0</v>
      </c>
      <c r="AJ25" s="292"/>
      <c r="AK25" s="292"/>
      <c r="AL25" s="292"/>
      <c r="AM25" s="75" t="s">
        <v>48</v>
      </c>
      <c r="AN25" s="284">
        <f>IF(AF25="20時間を",0,IF(OR($G25="",$AB25=""),0,HOUR($CC25)))</f>
        <v>0</v>
      </c>
      <c r="AO25" s="284"/>
      <c r="AP25" s="284"/>
      <c r="AQ25" s="285">
        <f>IF(AF25="20時間を",0,IF(OR($G25="",AB25=""),0,MINUTE($CC25)))</f>
        <v>0</v>
      </c>
      <c r="AR25" s="285"/>
      <c r="AS25" s="38" t="s">
        <v>49</v>
      </c>
      <c r="AT25" s="76"/>
      <c r="AU25" s="76"/>
      <c r="AV25" s="38"/>
      <c r="BP25" s="286">
        <f>IF(CJ25=CF25,26,HOUR(BY25)+2)</f>
        <v>26</v>
      </c>
      <c r="BQ25" s="286"/>
      <c r="BR25" s="287" t="e">
        <f>MINUTE(BU25)</f>
        <v>#VALUE!</v>
      </c>
      <c r="BS25" s="287"/>
      <c r="BT25" s="177" t="s">
        <v>31</v>
      </c>
      <c r="BU25" s="281" t="e">
        <f>+BY25+$CN$6</f>
        <v>#VALUE!</v>
      </c>
      <c r="BV25" s="281"/>
      <c r="BW25" s="281"/>
      <c r="BX25" s="177"/>
      <c r="BY25" s="281" t="e">
        <f>CN25-CF25</f>
        <v>#VALUE!</v>
      </c>
      <c r="BZ25" s="281"/>
      <c r="CA25" s="281"/>
      <c r="CC25" s="273" t="e">
        <f>BU25-(IF($AB25&gt;$G25,IF($G25&lt;$A$15,IF($AB25&lt;=$A$15,0,IF($AB25&lt;$A$14,$AB25-$A$15,$A$14-$A$15)),IF($G25&lt;$A$14,IF($AB25&lt;$A$14,$AB25-$G25,$A$14-$G25),0)),IF($G25&gt;=$A$14,IF($AB25&lt;$A$15,0,IF($AB25&lt;$A$14,$AB25-$A$15,$A$14-$A$15)),IF($G25&gt;$A$15,IF($AB25&lt;$A$15,$A$14-$G25,($A$14-$G25)+($AB25-$A$15)),$A$14-$A$15))))</f>
        <v>#VALUE!</v>
      </c>
      <c r="CD25" s="273"/>
      <c r="CF25" s="273" t="str">
        <f>IF(AND(L25="",O25=""),"",TIME($L25,$O25,0))</f>
        <v/>
      </c>
      <c r="CG25" s="273"/>
      <c r="CH25" s="273"/>
      <c r="CJ25" s="273" t="str">
        <f>IF(AND(T25="",W25=""),"",TIME($T25,$W25,0))</f>
        <v/>
      </c>
      <c r="CK25" s="273"/>
      <c r="CL25" s="273"/>
      <c r="CN25" s="281" t="e">
        <f>IF(CF25&gt;=CJ25,CJ25+$CC$9,CJ25)</f>
        <v>#VALUE!</v>
      </c>
      <c r="CO25" s="281"/>
      <c r="CP25" s="281"/>
    </row>
    <row r="26" spans="1:94" ht="12.75" customHeight="1" thickBot="1" x14ac:dyDescent="0.2">
      <c r="A26" s="8"/>
      <c r="B26" s="8"/>
      <c r="C26" s="8"/>
      <c r="W26" s="282" t="str">
        <f>IF(OR($G25="",$AB25=""),"",IF($BP25&gt;=5,"",IF($BP25*60+$BR25&gt;0,"運転時間は最低３時間のため始業点呼・就業点呼の＋２時間で５時間となります","")))</f>
        <v/>
      </c>
      <c r="X26" s="282"/>
      <c r="Y26" s="282"/>
      <c r="Z26" s="282"/>
      <c r="AA26" s="282"/>
      <c r="AB26" s="282"/>
      <c r="AC26" s="282"/>
      <c r="AD26" s="282"/>
      <c r="AE26" s="282"/>
      <c r="AF26" s="282"/>
      <c r="AG26" s="282"/>
      <c r="AH26" s="282"/>
      <c r="AI26" s="282"/>
      <c r="AJ26" s="282"/>
      <c r="AK26" s="282"/>
      <c r="AL26" s="282"/>
      <c r="AM26" s="282"/>
      <c r="AN26" s="282"/>
    </row>
    <row r="27" spans="1:94" ht="18.75" customHeight="1" thickBot="1" x14ac:dyDescent="0.2">
      <c r="A27" s="293">
        <v>0.20833333333333334</v>
      </c>
      <c r="B27" s="293"/>
      <c r="C27" s="293"/>
      <c r="D27" s="7" t="s">
        <v>120</v>
      </c>
      <c r="E27" s="74"/>
      <c r="G27" s="290" t="str">
        <f>IF(AND($L27="",$O27=""),"",IF($L27=0,TIME(23,$O27,0),TIME($L27-1,$O27,0)))</f>
        <v/>
      </c>
      <c r="H27" s="290"/>
      <c r="I27" s="290"/>
      <c r="J27" s="203" t="s">
        <v>40</v>
      </c>
      <c r="K27" s="203"/>
      <c r="L27" s="276"/>
      <c r="M27" s="278"/>
      <c r="N27" s="5" t="s">
        <v>47</v>
      </c>
      <c r="O27" s="288"/>
      <c r="P27" s="289"/>
      <c r="Q27" s="38" t="s">
        <v>22</v>
      </c>
      <c r="R27" s="203" t="s">
        <v>40</v>
      </c>
      <c r="S27" s="203"/>
      <c r="T27" s="276"/>
      <c r="U27" s="278"/>
      <c r="V27" s="5" t="s">
        <v>47</v>
      </c>
      <c r="W27" s="288"/>
      <c r="X27" s="289"/>
      <c r="Y27" s="38" t="s">
        <v>22</v>
      </c>
      <c r="Z27" s="203" t="s">
        <v>40</v>
      </c>
      <c r="AA27" s="203"/>
      <c r="AB27" s="290" t="str">
        <f>IF(AND($T27="",$W27=""),"",TIME(T27+1,W27,0))</f>
        <v/>
      </c>
      <c r="AC27" s="290"/>
      <c r="AD27" s="290"/>
      <c r="AE27" s="179"/>
      <c r="AF27" s="291">
        <f>IF(OR($G27="",$AB27=""),0,IF(OR($BP27&gt;20,AND($BP27=20,$BR27&gt;0)),"20時間を",IF($BR27=0,IF($BP27=0,0,IF($BP27&gt;5,$BP27,5)),IF($BP27&lt;5,5,$BP27))))</f>
        <v>0</v>
      </c>
      <c r="AG27" s="291"/>
      <c r="AH27" s="291"/>
      <c r="AI27" s="292">
        <f>IF(OR($G27="",AB27=""),0,IF($AF27="20時間を","超えています",IF($BP27&lt;5,0,$BR27)))</f>
        <v>0</v>
      </c>
      <c r="AJ27" s="292"/>
      <c r="AK27" s="292"/>
      <c r="AL27" s="292"/>
      <c r="AM27" s="75" t="s">
        <v>48</v>
      </c>
      <c r="AN27" s="284">
        <f>IF(AF27="20時間を",0,IF(OR($G27="",$AB27=""),0,HOUR($CC27)))</f>
        <v>0</v>
      </c>
      <c r="AO27" s="284"/>
      <c r="AP27" s="284"/>
      <c r="AQ27" s="285">
        <f>IF(AF27="20時間を",0,IF(OR($G27="",AB27=""),0,MINUTE($CC27)))</f>
        <v>0</v>
      </c>
      <c r="AR27" s="285"/>
      <c r="AS27" s="38" t="s">
        <v>49</v>
      </c>
      <c r="AT27" s="76"/>
      <c r="AU27" s="76"/>
      <c r="AV27" s="38"/>
      <c r="BP27" s="286">
        <f>IF(CJ27=CF27,26,HOUR(BY27)+2)</f>
        <v>26</v>
      </c>
      <c r="BQ27" s="286"/>
      <c r="BR27" s="287" t="e">
        <f>MINUTE(BU27)</f>
        <v>#VALUE!</v>
      </c>
      <c r="BS27" s="287"/>
      <c r="BT27" s="177" t="s">
        <v>31</v>
      </c>
      <c r="BU27" s="281" t="e">
        <f>+BY27+$CN$6</f>
        <v>#VALUE!</v>
      </c>
      <c r="BV27" s="281"/>
      <c r="BW27" s="281"/>
      <c r="BX27" s="177"/>
      <c r="BY27" s="281" t="e">
        <f>CN27-CF27</f>
        <v>#VALUE!</v>
      </c>
      <c r="BZ27" s="281"/>
      <c r="CA27" s="281"/>
      <c r="CC27" s="273" t="e">
        <f>BU27-(IF($AB27&gt;$G27,IF($G27&lt;$A$15,IF($AB27&lt;=$A$15,0,IF($AB27&lt;$A$14,$AB27-$A$15,$A$14-$A$15)),IF($G27&lt;$A$14,IF($AB27&lt;$A$14,$AB27-$G27,$A$14-$G27),0)),IF($G27&gt;=$A$14,IF($AB27&lt;$A$15,0,IF($AB27&lt;$A$14,$AB27-$A$15,$A$14-$A$15)),IF($G27&gt;$A$15,IF($AB27&lt;$A$15,$A$14-$G27,($A$14-$G27)+($AB27-$A$15)),$A$14-$A$15))))</f>
        <v>#VALUE!</v>
      </c>
      <c r="CD27" s="273"/>
      <c r="CF27" s="273" t="str">
        <f>IF(AND(L27="",O27=""),"",TIME($L27,$O27,0))</f>
        <v/>
      </c>
      <c r="CG27" s="273"/>
      <c r="CH27" s="273"/>
      <c r="CJ27" s="273" t="str">
        <f>IF(AND(T27="",W27=""),"",TIME($T27,$W27,0))</f>
        <v/>
      </c>
      <c r="CK27" s="273"/>
      <c r="CL27" s="273"/>
      <c r="CN27" s="281" t="e">
        <f>IF(CF27&gt;=CJ27,CJ27+$CC$9,CJ27)</f>
        <v>#VALUE!</v>
      </c>
      <c r="CO27" s="281"/>
      <c r="CP27" s="281"/>
    </row>
    <row r="28" spans="1:94" ht="12.75" customHeight="1" thickBot="1" x14ac:dyDescent="0.2">
      <c r="A28" s="8"/>
      <c r="B28" s="8"/>
      <c r="C28" s="8"/>
      <c r="W28" s="282" t="str">
        <f>IF(OR($G27="",$AB27=""),"",IF($BP27&gt;=5,"",IF($BP27*60+$BR27&gt;0,"運転時間は最低３時間のため始業点呼・就業点呼の＋２時間で５時間となります","")))</f>
        <v/>
      </c>
      <c r="X28" s="282"/>
      <c r="Y28" s="282"/>
      <c r="Z28" s="282"/>
      <c r="AA28" s="282"/>
      <c r="AB28" s="282"/>
      <c r="AC28" s="282"/>
      <c r="AD28" s="282"/>
      <c r="AE28" s="282"/>
      <c r="AF28" s="282"/>
      <c r="AG28" s="282"/>
      <c r="AH28" s="282"/>
      <c r="AI28" s="282"/>
      <c r="AJ28" s="282"/>
      <c r="AK28" s="282"/>
      <c r="AL28" s="282"/>
      <c r="AM28" s="282"/>
      <c r="AN28" s="282"/>
    </row>
    <row r="29" spans="1:94" ht="18.75" customHeight="1" thickBot="1" x14ac:dyDescent="0.2">
      <c r="A29" s="293">
        <v>0.20833333333333334</v>
      </c>
      <c r="B29" s="293"/>
      <c r="C29" s="293"/>
      <c r="D29" s="7" t="s">
        <v>122</v>
      </c>
      <c r="E29" s="74"/>
      <c r="G29" s="290" t="str">
        <f>IF(AND($L29="",$O29=""),"",IF($L29=0,TIME(23,$O29,0),TIME($L29-1,$O29,0)))</f>
        <v/>
      </c>
      <c r="H29" s="290"/>
      <c r="I29" s="290"/>
      <c r="J29" s="203" t="s">
        <v>40</v>
      </c>
      <c r="K29" s="203"/>
      <c r="L29" s="276"/>
      <c r="M29" s="278"/>
      <c r="N29" s="5" t="s">
        <v>47</v>
      </c>
      <c r="O29" s="288"/>
      <c r="P29" s="289"/>
      <c r="Q29" s="38" t="s">
        <v>22</v>
      </c>
      <c r="R29" s="203" t="s">
        <v>40</v>
      </c>
      <c r="S29" s="203"/>
      <c r="T29" s="276"/>
      <c r="U29" s="278"/>
      <c r="V29" s="5" t="s">
        <v>47</v>
      </c>
      <c r="W29" s="288"/>
      <c r="X29" s="289"/>
      <c r="Y29" s="38" t="s">
        <v>22</v>
      </c>
      <c r="Z29" s="203" t="s">
        <v>40</v>
      </c>
      <c r="AA29" s="203"/>
      <c r="AB29" s="290" t="str">
        <f>IF(AND($T29="",$W29=""),"",TIME(T29+1,W29,0))</f>
        <v/>
      </c>
      <c r="AC29" s="290"/>
      <c r="AD29" s="290"/>
      <c r="AE29" s="179"/>
      <c r="AF29" s="291">
        <f>IF(OR($G29="",$AB29=""),0,IF(OR($BP29&gt;20,AND($BP29=20,$BR29&gt;0)),"20時間を",IF($BR29=0,IF($BP29=0,0,IF($BP29&gt;5,$BP29,5)),IF($BP29&lt;5,5,$BP29))))</f>
        <v>0</v>
      </c>
      <c r="AG29" s="291"/>
      <c r="AH29" s="291"/>
      <c r="AI29" s="292">
        <f>IF(OR($G29="",AB29=""),0,IF($AF29="20時間を","超えています",IF($BP29&lt;5,0,$BR29)))</f>
        <v>0</v>
      </c>
      <c r="AJ29" s="292"/>
      <c r="AK29" s="292"/>
      <c r="AL29" s="292"/>
      <c r="AM29" s="75" t="s">
        <v>48</v>
      </c>
      <c r="AN29" s="284">
        <f>IF(AF29="20時間を",0,IF(OR($G29="",$AB29=""),0,HOUR($CC29)))</f>
        <v>0</v>
      </c>
      <c r="AO29" s="284"/>
      <c r="AP29" s="284"/>
      <c r="AQ29" s="285">
        <f>IF(AF29="20時間を",0,IF(OR($G29="",AB29=""),0,MINUTE($CC29)))</f>
        <v>0</v>
      </c>
      <c r="AR29" s="285"/>
      <c r="AS29" s="38" t="s">
        <v>49</v>
      </c>
      <c r="AT29" s="76"/>
      <c r="AU29" s="76"/>
      <c r="AV29" s="38"/>
      <c r="BP29" s="286">
        <f>IF(CJ29=CF29,26,HOUR(BY29)+2)</f>
        <v>26</v>
      </c>
      <c r="BQ29" s="286"/>
      <c r="BR29" s="287" t="e">
        <f>MINUTE(BU29)</f>
        <v>#VALUE!</v>
      </c>
      <c r="BS29" s="287"/>
      <c r="BT29" s="177" t="s">
        <v>31</v>
      </c>
      <c r="BU29" s="281" t="e">
        <f>+BY29+$CN$6</f>
        <v>#VALUE!</v>
      </c>
      <c r="BV29" s="281"/>
      <c r="BW29" s="281"/>
      <c r="BX29" s="177"/>
      <c r="BY29" s="281" t="e">
        <f>CN29-CF29</f>
        <v>#VALUE!</v>
      </c>
      <c r="BZ29" s="281"/>
      <c r="CA29" s="281"/>
      <c r="CC29" s="273" t="e">
        <f>BU29-(IF($AB29&gt;$G29,IF($G29&lt;$A$15,IF($AB29&lt;=$A$15,0,IF($AB29&lt;$A$14,$AB29-$A$15,$A$14-$A$15)),IF($G29&lt;$A$14,IF($AB29&lt;$A$14,$AB29-$G29,$A$14-$G29),0)),IF($G29&gt;=$A$14,IF($AB29&lt;$A$15,0,IF($AB29&lt;$A$14,$AB29-$A$15,$A$14-$A$15)),IF($G29&gt;$A$15,IF($AB29&lt;$A$15,$A$14-$G29,($A$14-$G29)+($AB29-$A$15)),$A$14-$A$15))))</f>
        <v>#VALUE!</v>
      </c>
      <c r="CD29" s="273"/>
      <c r="CF29" s="273" t="str">
        <f>IF(AND(L29="",O29=""),"",TIME($L29,$O29,0))</f>
        <v/>
      </c>
      <c r="CG29" s="273"/>
      <c r="CH29" s="273"/>
      <c r="CJ29" s="273" t="str">
        <f>IF(AND(T29="",W29=""),"",TIME($T29,$W29,0))</f>
        <v/>
      </c>
      <c r="CK29" s="273"/>
      <c r="CL29" s="273"/>
      <c r="CN29" s="281" t="e">
        <f>IF(CF29&gt;=CJ29,CJ29+$CC$9,CJ29)</f>
        <v>#VALUE!</v>
      </c>
      <c r="CO29" s="281"/>
      <c r="CP29" s="281"/>
    </row>
    <row r="30" spans="1:94" ht="12.75" customHeight="1" x14ac:dyDescent="0.15">
      <c r="A30" s="8"/>
      <c r="B30" s="8"/>
      <c r="C30" s="8"/>
      <c r="W30" s="282" t="str">
        <f>IF(OR($G29="",$AB29=""),"",IF($BP29&gt;=5,"",IF($BP29*60+$BR29&gt;0,"運転時間は最低３時間のため始業点呼・就業点呼の＋２時間で５時間となります","")))</f>
        <v/>
      </c>
      <c r="X30" s="282"/>
      <c r="Y30" s="282"/>
      <c r="Z30" s="282"/>
      <c r="AA30" s="282"/>
      <c r="AB30" s="282"/>
      <c r="AC30" s="282"/>
      <c r="AD30" s="282"/>
      <c r="AE30" s="282"/>
      <c r="AF30" s="282"/>
      <c r="AG30" s="282"/>
      <c r="AH30" s="282"/>
      <c r="AI30" s="282"/>
      <c r="AJ30" s="282"/>
      <c r="AK30" s="282"/>
      <c r="AL30" s="282"/>
      <c r="AM30" s="282"/>
      <c r="AN30" s="282"/>
    </row>
    <row r="31" spans="1:94" ht="19.5" customHeight="1" x14ac:dyDescent="0.15">
      <c r="U31" s="204" t="s">
        <v>23</v>
      </c>
      <c r="V31" s="204"/>
      <c r="W31" s="204"/>
      <c r="X31" s="204"/>
      <c r="Y31" s="204"/>
      <c r="Z31" s="204"/>
      <c r="AA31" s="204"/>
      <c r="AB31" s="204"/>
      <c r="AC31" s="204"/>
      <c r="AD31" s="204"/>
      <c r="AE31" s="204"/>
      <c r="AF31" s="283">
        <f>IF(ISERROR(ROUND(((+AF11+AF13+AF15+AF17+AF19+AF21+AF23+AF25+AF27+AF29)*60+AI11+AI13+AI15+AI17+AI19+AI21+AI23+AI25+AI27+AI29)/60,0)),0,ROUND(((+AF11+AF13+AF15+AF17+AF19+AF21+AF23+AF25+AF27+AF29)*60+AI11+AI13+AI15+AI17+AI19+AI21+AI23+AI25+AI27+AI29)/60,0))</f>
        <v>0</v>
      </c>
      <c r="AG31" s="283"/>
      <c r="AH31" s="283"/>
      <c r="AI31" s="283"/>
      <c r="AK31" s="204" t="s">
        <v>39</v>
      </c>
      <c r="AL31" s="204"/>
      <c r="AM31" s="204"/>
      <c r="AN31" s="204"/>
      <c r="AO31" s="204"/>
      <c r="AP31" s="204"/>
      <c r="AQ31" s="283">
        <f>IF(ISERROR(ROUND(((AN11+AN13+AN15+AN17+AN19+AN21+AN23+AN25+AN27+AN29)*60+AQ11+AQ13+AQ15+AQ17+AQ19+AQ21+AQ23+AQ25+AQ27+AQ29)/60,0)),"",ROUND(((AN11+AN13+AN15+AN17+AN19+AN21+AN23+AN25+AN27+AN29)*60+AQ11+AQ13+AQ15+AQ17+AQ19+AQ21+AQ23+AQ25+AQ27+AQ29)/60,0))</f>
        <v>0</v>
      </c>
      <c r="AR31" s="283"/>
      <c r="AS31" s="283"/>
      <c r="AT31" s="283"/>
      <c r="AV31" s="11"/>
      <c r="AW31" s="143"/>
      <c r="BB31" s="144"/>
      <c r="BC31" s="88"/>
      <c r="BK31" s="89"/>
      <c r="BN31" s="180"/>
      <c r="BP31" s="90"/>
      <c r="BQ31" s="91"/>
      <c r="BY31" s="273">
        <f>+CC31-CF31</f>
        <v>0.83333333333333337</v>
      </c>
      <c r="BZ31" s="273"/>
      <c r="CA31" s="273"/>
      <c r="CC31" s="273">
        <v>0.95833333333333337</v>
      </c>
      <c r="CD31" s="273"/>
      <c r="CF31" s="273">
        <v>0.125</v>
      </c>
      <c r="CG31" s="273"/>
      <c r="CH31" s="273"/>
    </row>
    <row r="32" spans="1:94" ht="15" customHeight="1" x14ac:dyDescent="0.15">
      <c r="Y32" s="80"/>
      <c r="Z32" s="80"/>
      <c r="AA32" s="80"/>
      <c r="AC32" s="80"/>
      <c r="AD32" s="270" t="str">
        <f>IF(ISERROR(IF(MOD(AF11+AF13+AF15,60)&gt;0,"※３０分未満は切り捨て、３０分以上は１時間に切り上げとなります","")),"",IF(MOD(AF11+AF13+AF15,60)&gt;0,"※３０分未満は切り捨て、３０分以上は１時間に切り上げとなります",""))</f>
        <v/>
      </c>
      <c r="AE32" s="270"/>
      <c r="AF32" s="270"/>
      <c r="AG32" s="270"/>
      <c r="AH32" s="270"/>
      <c r="AI32" s="270"/>
      <c r="AJ32" s="270"/>
      <c r="AK32" s="270"/>
      <c r="AL32" s="270"/>
      <c r="AM32" s="270"/>
      <c r="AN32" s="270"/>
      <c r="AO32" s="270"/>
      <c r="AP32" s="270"/>
      <c r="AQ32" s="270"/>
      <c r="AR32" s="270"/>
      <c r="AS32" s="270"/>
      <c r="AT32" s="80"/>
      <c r="AY32" s="145"/>
      <c r="BK32" s="89"/>
      <c r="BN32" s="180"/>
      <c r="BP32" s="90"/>
      <c r="BQ32" s="91"/>
    </row>
    <row r="33" spans="5:71" ht="6" customHeight="1" x14ac:dyDescent="0.15">
      <c r="Y33" s="81"/>
      <c r="Z33" s="81"/>
      <c r="AA33" s="81"/>
      <c r="AB33" s="81"/>
      <c r="AC33" s="81"/>
      <c r="AD33" s="81"/>
      <c r="AE33" s="81"/>
      <c r="AF33" s="81"/>
      <c r="AG33" s="81"/>
      <c r="AH33" s="81"/>
      <c r="AI33" s="81"/>
      <c r="AJ33" s="81"/>
      <c r="AK33" s="81"/>
      <c r="AL33" s="81"/>
      <c r="AM33" s="81"/>
      <c r="AN33" s="81"/>
      <c r="AY33" s="145"/>
      <c r="BK33" s="89"/>
      <c r="BN33" s="180"/>
      <c r="BP33" s="90"/>
      <c r="BQ33" s="91"/>
    </row>
    <row r="34" spans="5:71" ht="14.25" customHeight="1" x14ac:dyDescent="0.15">
      <c r="M34" s="70"/>
      <c r="N34" s="255"/>
      <c r="O34" s="255"/>
      <c r="P34" s="255"/>
      <c r="Q34" s="82"/>
      <c r="R34" s="241" t="s">
        <v>8</v>
      </c>
      <c r="S34" s="241"/>
      <c r="T34" s="38"/>
      <c r="U34" s="81"/>
      <c r="V34" s="81"/>
      <c r="W34" s="81"/>
      <c r="X34" s="81"/>
      <c r="Y34" s="81"/>
      <c r="Z34" s="81"/>
      <c r="AA34" s="81"/>
      <c r="AB34" s="81"/>
      <c r="AC34" s="81"/>
      <c r="AN34" s="15"/>
      <c r="AR34" s="8"/>
      <c r="AS34" s="8"/>
      <c r="AT34" s="8"/>
      <c r="AU34" s="8"/>
      <c r="AV34" s="8"/>
      <c r="AW34" s="31"/>
      <c r="AX34" s="31"/>
      <c r="AY34" s="31"/>
      <c r="AZ34" s="89"/>
      <c r="BA34" s="31"/>
      <c r="BB34" s="31"/>
      <c r="BC34" s="180"/>
      <c r="BE34" s="90"/>
      <c r="BF34" s="91"/>
      <c r="BN34" s="271"/>
      <c r="BO34" s="272"/>
      <c r="BP34" s="272"/>
    </row>
    <row r="35" spans="5:71" ht="19.5" customHeight="1" x14ac:dyDescent="0.15">
      <c r="G35" s="5" t="s">
        <v>21</v>
      </c>
      <c r="J35" s="5" t="s">
        <v>12</v>
      </c>
      <c r="N35" s="274">
        <f ca="1">VLOOKUP($BC$10,INDIRECT(VLOOKUP($BC$5,$BR$54:$BS$63,2,FALSE)),3,FALSE)</f>
        <v>0</v>
      </c>
      <c r="O35" s="274"/>
      <c r="P35" s="274"/>
      <c r="Q35" s="107" t="s">
        <v>129</v>
      </c>
      <c r="R35" s="275">
        <f ca="1">VLOOKUP($BC$10,INDIRECT(VLOOKUP($BC$5,$BR$54:$BS$63,2,FALSE)),4,FALSE)</f>
        <v>190</v>
      </c>
      <c r="S35" s="275"/>
      <c r="T35" s="275"/>
      <c r="AJ35" s="8"/>
      <c r="AK35" s="8"/>
      <c r="AL35" s="8"/>
      <c r="AR35" s="8"/>
      <c r="AS35" s="8"/>
      <c r="AT35" s="8"/>
      <c r="AU35" s="8"/>
      <c r="AV35" s="8"/>
      <c r="AW35" s="31"/>
      <c r="AX35" s="31"/>
      <c r="AY35" s="31"/>
      <c r="AZ35" s="31"/>
      <c r="BA35" s="31"/>
      <c r="BB35" s="180"/>
    </row>
    <row r="36" spans="5:71" ht="6" customHeight="1" thickBot="1" x14ac:dyDescent="0.2">
      <c r="AV36" s="11"/>
      <c r="AW36" s="143"/>
      <c r="BM36" s="180"/>
    </row>
    <row r="37" spans="5:71" ht="19.5" customHeight="1" thickBot="1" x14ac:dyDescent="0.2">
      <c r="J37" s="5" t="s">
        <v>18</v>
      </c>
      <c r="N37" s="276">
        <v>100</v>
      </c>
      <c r="O37" s="277"/>
      <c r="P37" s="278"/>
      <c r="Q37" s="5" t="s">
        <v>19</v>
      </c>
      <c r="R37" s="279" t="str">
        <f>IF(T37="","","→")</f>
        <v/>
      </c>
      <c r="S37" s="279"/>
      <c r="T37" s="280" t="str">
        <f>IF(MOD(N37,10)&gt;0,ROUNDUP(N37,-1),"")</f>
        <v/>
      </c>
      <c r="U37" s="280"/>
      <c r="V37" s="280"/>
      <c r="W37" s="38" t="str">
        <f>IF(T37="","","㎞")</f>
        <v/>
      </c>
      <c r="X37" s="72"/>
      <c r="Y37" s="83"/>
    </row>
    <row r="38" spans="5:71" ht="15" customHeight="1" x14ac:dyDescent="0.15">
      <c r="Q38" s="84" t="str">
        <f>IF(T37="","","１０㎞未満は１０㎞に切り上げとなります")</f>
        <v/>
      </c>
      <c r="R38" s="85"/>
      <c r="S38" s="85"/>
      <c r="T38" s="85"/>
      <c r="U38" s="85"/>
      <c r="V38" s="85"/>
      <c r="W38" s="85"/>
      <c r="X38" s="85"/>
      <c r="AV38" s="11"/>
      <c r="AW38" s="143"/>
      <c r="BR38" s="31">
        <v>1</v>
      </c>
      <c r="BS38" s="31" t="s">
        <v>68</v>
      </c>
    </row>
    <row r="39" spans="5:71" ht="9.75" hidden="1" customHeight="1" x14ac:dyDescent="0.15">
      <c r="BR39" s="31">
        <v>2</v>
      </c>
      <c r="BS39" s="31" t="s">
        <v>69</v>
      </c>
    </row>
    <row r="40" spans="5:71" ht="15" hidden="1" customHeight="1" x14ac:dyDescent="0.15">
      <c r="G40" s="5" t="s">
        <v>130</v>
      </c>
      <c r="J40" s="49"/>
      <c r="K40" s="49"/>
      <c r="M40" s="116"/>
      <c r="N40" s="116"/>
      <c r="O40" s="116"/>
      <c r="P40" s="116"/>
      <c r="Q40" s="116"/>
      <c r="R40" s="116"/>
      <c r="S40" s="116"/>
      <c r="T40" s="116"/>
      <c r="U40" s="116"/>
      <c r="V40" s="116"/>
      <c r="W40" s="116"/>
      <c r="X40" s="116"/>
      <c r="Y40" s="9"/>
      <c r="Z40" s="8" t="s">
        <v>131</v>
      </c>
      <c r="AB40" s="116"/>
      <c r="AC40" s="116"/>
      <c r="AD40" s="116"/>
      <c r="AE40" s="116"/>
      <c r="AF40" s="116"/>
      <c r="AG40" s="116"/>
      <c r="AH40" s="116"/>
      <c r="AI40" s="116"/>
      <c r="AJ40" s="116"/>
      <c r="AK40" s="116"/>
      <c r="AL40" s="116"/>
      <c r="AM40" s="116"/>
      <c r="AN40" s="116"/>
      <c r="AO40" s="116"/>
      <c r="AP40" s="116"/>
      <c r="AQ40" s="116"/>
      <c r="AR40" s="116"/>
      <c r="AS40" s="116"/>
      <c r="AT40" s="106"/>
      <c r="AU40" s="106"/>
      <c r="AV40" s="106"/>
      <c r="AW40" s="147"/>
      <c r="AX40" s="147"/>
      <c r="AY40" s="101"/>
      <c r="AZ40" s="101"/>
      <c r="BA40" s="101"/>
      <c r="BB40" s="101"/>
      <c r="BR40" s="31">
        <v>3</v>
      </c>
      <c r="BS40" s="31" t="s">
        <v>70</v>
      </c>
    </row>
    <row r="41" spans="5:71" ht="15" customHeight="1" x14ac:dyDescent="0.15">
      <c r="AY41" s="101"/>
      <c r="AZ41" s="101"/>
      <c r="BA41" s="101"/>
      <c r="BB41" s="101"/>
      <c r="BC41" s="31">
        <v>0</v>
      </c>
      <c r="BR41" s="31">
        <v>4</v>
      </c>
      <c r="BS41" s="31" t="s">
        <v>71</v>
      </c>
    </row>
    <row r="42" spans="5:71" ht="18" customHeight="1" x14ac:dyDescent="0.15">
      <c r="E42" s="32" t="s">
        <v>33</v>
      </c>
      <c r="I42" s="32" t="s">
        <v>37</v>
      </c>
      <c r="AY42" s="101"/>
      <c r="AZ42" s="101"/>
      <c r="BA42" s="101"/>
      <c r="BB42" s="101"/>
      <c r="BR42" s="31">
        <v>5</v>
      </c>
      <c r="BS42" s="31" t="s">
        <v>72</v>
      </c>
    </row>
    <row r="43" spans="5:71" ht="15" customHeight="1" x14ac:dyDescent="0.15">
      <c r="K43" s="203" t="s">
        <v>13</v>
      </c>
      <c r="L43" s="203"/>
      <c r="M43" s="203"/>
      <c r="O43" s="5" t="s">
        <v>34</v>
      </c>
      <c r="S43" s="38"/>
      <c r="U43" s="203" t="s">
        <v>12</v>
      </c>
      <c r="V43" s="203"/>
      <c r="W43" s="203"/>
      <c r="Y43" s="203" t="s">
        <v>18</v>
      </c>
      <c r="Z43" s="203"/>
      <c r="AA43" s="203"/>
      <c r="AB43" s="203"/>
      <c r="AY43" s="101"/>
      <c r="AZ43" s="101"/>
      <c r="BA43" s="101"/>
      <c r="BB43" s="101"/>
      <c r="BR43" s="31">
        <v>6</v>
      </c>
      <c r="BS43" s="31" t="s">
        <v>77</v>
      </c>
    </row>
    <row r="44" spans="5:71" ht="14.25" hidden="1" x14ac:dyDescent="0.15">
      <c r="J44" s="106" t="s">
        <v>35</v>
      </c>
      <c r="K44" s="205">
        <f ca="1">時刻入力シート!N9</f>
        <v>0</v>
      </c>
      <c r="L44" s="205"/>
      <c r="M44" s="205"/>
      <c r="N44" s="103" t="s">
        <v>14</v>
      </c>
      <c r="O44" s="207">
        <f>+AF31</f>
        <v>0</v>
      </c>
      <c r="P44" s="207"/>
      <c r="Q44" s="207"/>
      <c r="R44" s="5" t="s">
        <v>36</v>
      </c>
      <c r="S44" s="103" t="s">
        <v>15</v>
      </c>
      <c r="T44" s="108" t="s">
        <v>35</v>
      </c>
      <c r="U44" s="205">
        <f ca="1">N35</f>
        <v>0</v>
      </c>
      <c r="V44" s="205"/>
      <c r="W44" s="205"/>
      <c r="X44" s="103" t="s">
        <v>14</v>
      </c>
      <c r="Y44" s="229">
        <f>IF($T$37="",$N$37,$T$37)</f>
        <v>100</v>
      </c>
      <c r="Z44" s="229"/>
      <c r="AA44" s="229"/>
      <c r="AB44" s="229"/>
      <c r="AC44" s="5" t="s">
        <v>36</v>
      </c>
      <c r="AD44" s="5" t="s">
        <v>17</v>
      </c>
      <c r="AF44" s="267" t="str">
        <f>IF(OR($AF$31=0,AC47,$N$37=""),"",ROUND(+K44*O44,0)+ROUND(U44*Y44,0))</f>
        <v/>
      </c>
      <c r="AG44" s="267"/>
      <c r="AH44" s="267"/>
      <c r="AI44" s="267"/>
      <c r="AJ44" s="267"/>
      <c r="AK44" s="267"/>
      <c r="AL44" s="8" t="s">
        <v>132</v>
      </c>
      <c r="AP44" s="8"/>
      <c r="AY44" s="101"/>
      <c r="AZ44" s="101"/>
      <c r="BA44" s="101"/>
      <c r="BB44" s="101"/>
      <c r="BR44" s="31">
        <v>7</v>
      </c>
      <c r="BS44" s="31" t="s">
        <v>73</v>
      </c>
    </row>
    <row r="45" spans="5:71" ht="6" customHeight="1" x14ac:dyDescent="0.15">
      <c r="AX45" s="141"/>
      <c r="AY45" s="101"/>
      <c r="AZ45" s="101"/>
      <c r="BA45" s="101"/>
      <c r="BB45" s="101"/>
      <c r="BR45" s="31">
        <v>8</v>
      </c>
      <c r="BS45" s="31" t="s">
        <v>74</v>
      </c>
    </row>
    <row r="46" spans="5:71" ht="14.25" x14ac:dyDescent="0.15">
      <c r="J46" s="106" t="s">
        <v>35</v>
      </c>
      <c r="K46" s="205">
        <f ca="1">S9</f>
        <v>6320</v>
      </c>
      <c r="L46" s="205"/>
      <c r="M46" s="205"/>
      <c r="N46" s="103" t="s">
        <v>14</v>
      </c>
      <c r="O46" s="207">
        <f>+AF31</f>
        <v>0</v>
      </c>
      <c r="P46" s="207"/>
      <c r="Q46" s="207"/>
      <c r="R46" s="5" t="s">
        <v>36</v>
      </c>
      <c r="S46" s="103" t="s">
        <v>15</v>
      </c>
      <c r="T46" s="108" t="s">
        <v>35</v>
      </c>
      <c r="U46" s="205">
        <f ca="1">R35</f>
        <v>190</v>
      </c>
      <c r="V46" s="205"/>
      <c r="W46" s="205"/>
      <c r="X46" s="103" t="s">
        <v>14</v>
      </c>
      <c r="Y46" s="229">
        <f>IF($T$37="",N37,$T$37)</f>
        <v>100</v>
      </c>
      <c r="Z46" s="229"/>
      <c r="AA46" s="229"/>
      <c r="AB46" s="229"/>
      <c r="AC46" s="5" t="s">
        <v>36</v>
      </c>
      <c r="AD46" s="5" t="s">
        <v>17</v>
      </c>
      <c r="AF46" s="267" t="str">
        <f>IF(OR($AF$31=0,AC49,$N$37=""),"",ROUND(+K46*O46,0)+ROUND(U46*Y46,0))</f>
        <v/>
      </c>
      <c r="AG46" s="267"/>
      <c r="AH46" s="267"/>
      <c r="AI46" s="267"/>
      <c r="AJ46" s="267"/>
      <c r="AK46" s="267"/>
      <c r="AL46" s="8" t="s">
        <v>1</v>
      </c>
      <c r="AP46" s="8"/>
      <c r="AY46" s="101"/>
      <c r="AZ46" s="101"/>
      <c r="BA46" s="101"/>
      <c r="BB46" s="101"/>
      <c r="BR46" s="31">
        <v>9</v>
      </c>
      <c r="BS46" s="31" t="s">
        <v>75</v>
      </c>
    </row>
    <row r="47" spans="5:71" ht="6" customHeight="1" x14ac:dyDescent="0.15">
      <c r="AX47" s="141"/>
      <c r="AY47" s="101"/>
      <c r="AZ47" s="101"/>
      <c r="BA47" s="101"/>
      <c r="BB47" s="101"/>
      <c r="BR47" s="31">
        <v>10</v>
      </c>
      <c r="BS47" s="31" t="s">
        <v>76</v>
      </c>
    </row>
    <row r="48" spans="5:71" hidden="1" x14ac:dyDescent="0.15">
      <c r="I48" s="269" t="str">
        <f>IF($BC$41=1,"","割引額")</f>
        <v>割引額</v>
      </c>
      <c r="J48" s="269"/>
      <c r="K48" s="269"/>
      <c r="L48" s="203" t="str">
        <f>IF($BC$41=1,"","運賃額")</f>
        <v>運賃額</v>
      </c>
      <c r="M48" s="203"/>
      <c r="N48" s="203"/>
      <c r="O48" s="203"/>
      <c r="P48" s="50"/>
      <c r="Q48" s="243" t="str">
        <f>IF($BC$41=1,"","割引率")</f>
        <v>割引率</v>
      </c>
      <c r="R48" s="243"/>
      <c r="S48" s="243"/>
      <c r="T48" s="243"/>
      <c r="U48" s="50"/>
      <c r="V48" s="50"/>
      <c r="W48" s="50"/>
      <c r="X48" s="50"/>
      <c r="Y48" s="50"/>
      <c r="Z48" s="50"/>
      <c r="AA48" s="50"/>
      <c r="AB48" s="50"/>
      <c r="AC48" s="50"/>
      <c r="AD48" s="50"/>
      <c r="AE48" s="50"/>
      <c r="AF48" s="50"/>
      <c r="AG48" s="50"/>
      <c r="AH48" s="50"/>
      <c r="AI48" s="50"/>
      <c r="AJ48" s="50"/>
      <c r="AK48" s="50"/>
      <c r="AL48" s="50"/>
      <c r="AM48" s="50"/>
      <c r="AN48" s="50"/>
      <c r="AO48" s="50"/>
      <c r="AP48" s="8"/>
      <c r="AQ48" s="50"/>
      <c r="AR48" s="116"/>
      <c r="AS48" s="50"/>
      <c r="AT48" s="50"/>
      <c r="AW48" s="146"/>
      <c r="AY48" s="101"/>
      <c r="AZ48" s="101"/>
      <c r="BA48" s="101"/>
      <c r="BB48" s="101"/>
    </row>
    <row r="49" spans="2:71" ht="14.25" hidden="1" x14ac:dyDescent="0.15">
      <c r="I49" s="269"/>
      <c r="J49" s="269"/>
      <c r="K49" s="269"/>
      <c r="L49" s="205" t="str">
        <f>IF($BC$41=1,"",+$AF$44)</f>
        <v/>
      </c>
      <c r="M49" s="205"/>
      <c r="N49" s="205"/>
      <c r="O49" s="205"/>
      <c r="P49" s="103" t="str">
        <f>IF($BC$41=1,"","×")</f>
        <v>×</v>
      </c>
      <c r="Q49" s="244">
        <f>IF($BC$41=1,"",IF($BC$41=2,0.3,IF($BC$41=3,0.2,0)))</f>
        <v>0</v>
      </c>
      <c r="R49" s="244"/>
      <c r="S49" s="244"/>
      <c r="T49" s="244"/>
      <c r="U49" s="5" t="str">
        <f>IF($BC$41=1,"","=")</f>
        <v>=</v>
      </c>
      <c r="V49" s="267" t="str">
        <f>IF($BC$41=1,"",IF(AF44="","",ROUND($L$49*$Q$49,0)))</f>
        <v/>
      </c>
      <c r="W49" s="267"/>
      <c r="X49" s="267"/>
      <c r="Y49" s="267"/>
      <c r="Z49" s="267"/>
      <c r="AU49" s="103"/>
      <c r="AW49" s="141"/>
      <c r="AY49" s="101"/>
      <c r="AZ49" s="101"/>
      <c r="BA49" s="101"/>
      <c r="BB49" s="101"/>
    </row>
    <row r="50" spans="2:71" ht="6" hidden="1" customHeight="1" x14ac:dyDescent="0.15">
      <c r="AT50" s="103"/>
      <c r="AU50" s="103"/>
      <c r="AV50" s="103"/>
      <c r="AW50" s="141"/>
      <c r="AY50" s="133"/>
      <c r="AZ50" s="101"/>
      <c r="BA50" s="101"/>
      <c r="BB50" s="101"/>
      <c r="BD50" s="180"/>
      <c r="BE50" s="180"/>
      <c r="BF50" s="180"/>
      <c r="BG50" s="180"/>
      <c r="BH50" s="180"/>
      <c r="BI50" s="180"/>
    </row>
    <row r="51" spans="2:71" ht="19.5" hidden="1" customHeight="1" x14ac:dyDescent="0.15">
      <c r="I51" s="32" t="str">
        <f>IF($BC$41=1,"","割引後運賃額")</f>
        <v>割引後運賃額</v>
      </c>
      <c r="O51" s="213" t="str">
        <f>IF($BC$41=1,"",AF44)</f>
        <v/>
      </c>
      <c r="P51" s="213"/>
      <c r="Q51" s="213"/>
      <c r="R51" s="213"/>
      <c r="S51" s="213"/>
      <c r="T51" s="213"/>
      <c r="U51" s="213"/>
      <c r="V51" s="213"/>
      <c r="W51" s="103" t="str">
        <f>IF($BC$41=1,"","－")</f>
        <v>－</v>
      </c>
      <c r="X51" s="203" t="str">
        <f>IF($BC$41=1,"","割引額")</f>
        <v>割引額</v>
      </c>
      <c r="Y51" s="203"/>
      <c r="Z51" s="203"/>
      <c r="AA51" s="5" t="str">
        <f>IF($BC$41=1,"","＝")</f>
        <v>＝</v>
      </c>
      <c r="AB51" s="267" t="e">
        <f>IF($BC$41=1,"",IF(AF44-V49&gt;AF46,AF44-V49,AF46))</f>
        <v>#VALUE!</v>
      </c>
      <c r="AC51" s="267"/>
      <c r="AD51" s="267"/>
      <c r="AE51" s="267"/>
      <c r="AF51" s="267"/>
      <c r="AG51" s="267"/>
      <c r="AH51" s="267"/>
      <c r="AI51" s="8" t="str">
        <f>IF(BC41=1,"","上限額①’")</f>
        <v>上限額①’</v>
      </c>
      <c r="AY51" s="101"/>
      <c r="AZ51" s="101"/>
      <c r="BA51" s="101"/>
      <c r="BB51" s="101"/>
      <c r="BL51" s="136"/>
    </row>
    <row r="52" spans="2:71" ht="19.5" hidden="1" customHeight="1" x14ac:dyDescent="0.15">
      <c r="I52" s="32"/>
      <c r="O52" s="111"/>
      <c r="P52" s="111"/>
      <c r="Q52" s="111"/>
      <c r="R52" s="111"/>
      <c r="S52" s="111"/>
      <c r="T52" s="111"/>
      <c r="U52" s="111"/>
      <c r="V52" s="111"/>
      <c r="W52" s="103"/>
      <c r="X52" s="103"/>
      <c r="Y52" s="103"/>
      <c r="Z52" s="103"/>
      <c r="AB52" s="178"/>
      <c r="AC52" s="178"/>
      <c r="AD52" s="8" t="str">
        <f>IF(BC41=1,"","割引きは下限額を限度とします。")</f>
        <v>割引きは下限額を限度とします。</v>
      </c>
      <c r="AE52" s="178"/>
      <c r="AF52" s="178"/>
      <c r="AG52" s="178"/>
      <c r="AH52" s="178"/>
      <c r="AI52" s="8"/>
      <c r="AY52" s="101"/>
      <c r="AZ52" s="101"/>
      <c r="BA52" s="101"/>
      <c r="BB52" s="101"/>
      <c r="BL52" s="136"/>
    </row>
    <row r="53" spans="2:71" ht="19.5" hidden="1" customHeight="1" x14ac:dyDescent="0.15">
      <c r="D53" s="16"/>
      <c r="E53" s="16"/>
      <c r="F53" s="16"/>
      <c r="G53" s="16"/>
      <c r="H53" s="16"/>
      <c r="I53" s="16"/>
      <c r="J53" s="16"/>
      <c r="K53" s="16"/>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c r="AO53" s="117"/>
      <c r="AP53" s="117"/>
      <c r="AQ53" s="117"/>
      <c r="AR53" s="117"/>
      <c r="AS53" s="117"/>
      <c r="AT53" s="117"/>
      <c r="AU53" s="117"/>
      <c r="AV53" s="117"/>
      <c r="AW53" s="133"/>
      <c r="AY53" s="101"/>
      <c r="AZ53" s="101"/>
      <c r="BA53" s="101"/>
      <c r="BB53" s="101"/>
      <c r="BL53" s="136"/>
    </row>
    <row r="54" spans="2:71" ht="21" x14ac:dyDescent="0.15">
      <c r="B54" s="51" t="s">
        <v>41</v>
      </c>
      <c r="E54" s="86" t="s">
        <v>24</v>
      </c>
      <c r="K54" s="8" t="str">
        <f>IF($AQ$31=0,"","深夜早朝時間が発生しています")</f>
        <v/>
      </c>
      <c r="AY54" s="101"/>
      <c r="AZ54" s="101"/>
      <c r="BA54" s="101"/>
      <c r="BB54" s="101"/>
      <c r="BR54" s="31">
        <v>1</v>
      </c>
      <c r="BS54" s="31" t="s">
        <v>79</v>
      </c>
    </row>
    <row r="55" spans="2:71" ht="20.25" customHeight="1" x14ac:dyDescent="0.15">
      <c r="F55" s="9" t="str">
        <f>IF($AQ$31=0,"","上限")</f>
        <v/>
      </c>
      <c r="G55" s="9"/>
      <c r="H55" s="9"/>
      <c r="I55" s="9"/>
      <c r="J55" s="9" t="str">
        <f>IF($AQ$31=0,"","下限")</f>
        <v/>
      </c>
      <c r="Z55" s="1"/>
      <c r="AA55" s="1"/>
      <c r="AB55" s="1"/>
      <c r="AC55" s="1"/>
      <c r="AD55" s="1"/>
      <c r="AE55" s="1"/>
      <c r="AF55" s="1"/>
      <c r="AG55" s="1"/>
      <c r="AH55" s="1"/>
      <c r="AI55" s="1"/>
      <c r="AJ55" s="1"/>
      <c r="AK55" s="1"/>
      <c r="AL55" s="1"/>
      <c r="AM55" s="1"/>
      <c r="AN55" s="1"/>
      <c r="AO55" s="1"/>
      <c r="AP55" s="1"/>
      <c r="AQ55" s="1"/>
      <c r="AR55" s="1"/>
      <c r="AS55" s="1"/>
      <c r="AT55" s="1"/>
      <c r="AU55" s="1"/>
      <c r="AV55" s="1"/>
      <c r="AW55" s="144"/>
      <c r="AX55" s="144"/>
      <c r="AY55" s="134"/>
      <c r="AZ55" s="101"/>
      <c r="BA55" s="101"/>
      <c r="BB55" s="101"/>
      <c r="BR55" s="31">
        <v>2</v>
      </c>
      <c r="BS55" s="31" t="s">
        <v>80</v>
      </c>
    </row>
    <row r="56" spans="2:71" ht="18.75" x14ac:dyDescent="0.15">
      <c r="C56" s="5" t="str">
        <f>IF($AQ$31=0,"","割増率")</f>
        <v/>
      </c>
      <c r="F56" s="260">
        <v>20</v>
      </c>
      <c r="G56" s="260"/>
      <c r="H56" s="187" t="str">
        <f>IF($AQ$31=0,"","％")</f>
        <v/>
      </c>
      <c r="I56" s="188" t="str">
        <f>IF($AQ$31=0,"","～")</f>
        <v/>
      </c>
      <c r="J56" s="268">
        <v>20</v>
      </c>
      <c r="K56" s="268"/>
      <c r="L56" s="161" t="str">
        <f>IF($AQ$31=0,"","％")</f>
        <v/>
      </c>
      <c r="M56" s="40"/>
      <c r="N56" s="40"/>
      <c r="O56" s="40"/>
      <c r="P56" s="3"/>
      <c r="U56" s="203" t="str">
        <f>IF($AQ$31=0,"","時間単価")</f>
        <v/>
      </c>
      <c r="V56" s="203"/>
      <c r="W56" s="203"/>
      <c r="X56" s="203"/>
      <c r="Y56" s="203" t="str">
        <f>IF($AQ$31=0,"","割増率")</f>
        <v/>
      </c>
      <c r="Z56" s="203"/>
      <c r="AA56" s="203"/>
      <c r="AC56" s="203" t="str">
        <f>IF($AQ$31=0,"","深夜早朝時間計")</f>
        <v/>
      </c>
      <c r="AD56" s="203"/>
      <c r="AE56" s="203"/>
      <c r="AF56" s="203"/>
      <c r="AG56" s="203"/>
      <c r="AH56" s="203"/>
      <c r="AO56" s="13"/>
      <c r="AP56" s="13"/>
      <c r="AQ56" s="13"/>
      <c r="AR56" s="1"/>
      <c r="AS56" s="1"/>
      <c r="AU56" s="16"/>
      <c r="AV56" s="8"/>
      <c r="AW56" s="31"/>
      <c r="AX56" s="31"/>
      <c r="AY56" s="101"/>
      <c r="AZ56" s="101"/>
      <c r="BA56" s="101"/>
      <c r="BB56" s="101"/>
      <c r="BR56" s="31">
        <v>3</v>
      </c>
      <c r="BS56" s="31" t="s">
        <v>81</v>
      </c>
    </row>
    <row r="57" spans="2:71" ht="18.75" hidden="1" x14ac:dyDescent="0.15">
      <c r="F57" s="181"/>
      <c r="G57" s="181"/>
      <c r="H57" s="189"/>
      <c r="I57" s="190"/>
      <c r="J57" s="181"/>
      <c r="K57" s="181"/>
      <c r="L57" s="161"/>
      <c r="M57" s="40"/>
      <c r="N57" s="40"/>
      <c r="O57" s="40"/>
      <c r="P57" s="3"/>
      <c r="U57" s="103"/>
      <c r="V57" s="103"/>
      <c r="W57" s="103"/>
      <c r="X57" s="103"/>
      <c r="Y57" s="38"/>
      <c r="Z57" s="103"/>
      <c r="AA57" s="103"/>
      <c r="AC57" s="103"/>
      <c r="AD57" s="103"/>
      <c r="AE57" s="103"/>
      <c r="AF57" s="103"/>
      <c r="AG57" s="103"/>
      <c r="AO57" s="13"/>
      <c r="AP57" s="13"/>
      <c r="AQ57" s="13"/>
      <c r="AR57" s="1"/>
      <c r="AS57" s="1"/>
      <c r="AU57" s="16"/>
      <c r="AV57" s="8"/>
      <c r="AW57" s="31"/>
      <c r="AX57" s="31"/>
      <c r="AY57" s="101"/>
      <c r="AZ57" s="101"/>
      <c r="BA57" s="101"/>
      <c r="BB57" s="101"/>
      <c r="BR57" s="31">
        <v>4</v>
      </c>
      <c r="BS57" s="31" t="s">
        <v>82</v>
      </c>
    </row>
    <row r="58" spans="2:71" ht="18.75" hidden="1" x14ac:dyDescent="0.15">
      <c r="C58" s="5" t="str">
        <f>IF($AQ$31=0,"","[上限20％]")</f>
        <v/>
      </c>
      <c r="F58" s="152"/>
      <c r="G58" s="152"/>
      <c r="I58" s="52"/>
      <c r="J58" s="191"/>
      <c r="K58" s="40"/>
      <c r="L58" s="40"/>
      <c r="M58" s="40"/>
      <c r="N58" s="40"/>
      <c r="O58" s="40"/>
      <c r="P58" s="3"/>
      <c r="U58" s="103"/>
      <c r="V58" s="103"/>
      <c r="W58" s="103"/>
      <c r="X58" s="103"/>
      <c r="Y58" s="38"/>
      <c r="Z58" s="103"/>
      <c r="AA58" s="103"/>
      <c r="AC58" s="103"/>
      <c r="AD58" s="103"/>
      <c r="AE58" s="103"/>
      <c r="AF58" s="103"/>
      <c r="AG58" s="103"/>
      <c r="AO58" s="13"/>
      <c r="AP58" s="13"/>
      <c r="AQ58" s="13"/>
      <c r="AR58" s="1"/>
      <c r="AS58" s="1"/>
      <c r="AU58" s="16"/>
      <c r="AV58" s="8"/>
      <c r="AW58" s="31"/>
      <c r="AX58" s="31"/>
      <c r="AY58" s="101"/>
      <c r="AZ58" s="101"/>
      <c r="BA58" s="101"/>
      <c r="BB58" s="101"/>
      <c r="BR58" s="31">
        <v>5</v>
      </c>
      <c r="BS58" s="31" t="s">
        <v>83</v>
      </c>
    </row>
    <row r="59" spans="2:71" ht="18.75" hidden="1" x14ac:dyDescent="0.15">
      <c r="J59" s="106" t="str">
        <f>IF($AQ$31=0,"","(運    賃)")</f>
        <v/>
      </c>
      <c r="K59" s="16"/>
      <c r="L59" s="16"/>
      <c r="M59" s="21" t="str">
        <f>IF($AQ$31=0,"","（上限額)")</f>
        <v/>
      </c>
      <c r="Q59" s="16"/>
      <c r="R59" s="16"/>
      <c r="S59" s="16"/>
      <c r="T59" s="16"/>
      <c r="U59" s="205" t="str">
        <f>IF($AQ$31=0,"",N9)</f>
        <v/>
      </c>
      <c r="V59" s="205"/>
      <c r="W59" s="205"/>
      <c r="X59" s="205"/>
      <c r="Y59" s="38" t="str">
        <f>IF($AQ$31=0,"","×")</f>
        <v/>
      </c>
      <c r="Z59" s="206" t="str">
        <f>IF($AQ$31=0,"",IF(F56="","",+$F$56/100))</f>
        <v/>
      </c>
      <c r="AA59" s="206"/>
      <c r="AB59" s="38" t="str">
        <f>IF($AQ$31=0,"","×")</f>
        <v/>
      </c>
      <c r="AC59" s="207" t="str">
        <f>IF($AQ$31=0,"",$AQ$31)</f>
        <v/>
      </c>
      <c r="AD59" s="207"/>
      <c r="AE59" s="207"/>
      <c r="AF59" s="207"/>
      <c r="AG59" s="207"/>
      <c r="AH59" s="38" t="str">
        <f>IF($AQ$31=0,"","＝")</f>
        <v/>
      </c>
      <c r="AI59" s="266" t="str">
        <f>IF($AQ$31=0,"",IF(F56="","",ROUND(U59*Z59*AC59,0)))</f>
        <v/>
      </c>
      <c r="AJ59" s="266"/>
      <c r="AK59" s="266"/>
      <c r="AL59" s="266"/>
      <c r="AM59" s="266"/>
      <c r="AQ59" s="132"/>
      <c r="AR59" s="132"/>
      <c r="AS59" s="132"/>
      <c r="AT59" s="16"/>
      <c r="AU59" s="16"/>
      <c r="AV59" s="8"/>
      <c r="AW59" s="31"/>
      <c r="AX59" s="31"/>
      <c r="AY59" s="101"/>
      <c r="AZ59" s="101"/>
      <c r="BA59" s="101"/>
      <c r="BB59" s="101"/>
      <c r="BR59" s="31">
        <v>6</v>
      </c>
      <c r="BS59" s="31" t="s">
        <v>84</v>
      </c>
    </row>
    <row r="60" spans="2:71" ht="18.75" hidden="1" x14ac:dyDescent="0.15">
      <c r="B60" s="16"/>
      <c r="C60" s="106"/>
      <c r="J60" s="106" t="str">
        <f>IF($AQ$31=0,"",IF($BA$89=FALSE,"","(交替運転者配置料金)"))</f>
        <v/>
      </c>
      <c r="K60" s="116"/>
      <c r="L60" s="16"/>
      <c r="M60" s="21" t="str">
        <f>IF($AQ$31=0,"",IF($BA$89=FALSE,"","(上限額)"))</f>
        <v/>
      </c>
      <c r="N60" s="16"/>
      <c r="O60" s="103"/>
      <c r="P60" s="103"/>
      <c r="Q60" s="16"/>
      <c r="R60" s="16"/>
      <c r="S60" s="16"/>
      <c r="T60" s="16"/>
      <c r="U60" s="205" t="str">
        <f>IF($AQ$31=0,"",IF($BA$89=FALSE,"",J88))</f>
        <v/>
      </c>
      <c r="V60" s="205"/>
      <c r="W60" s="205"/>
      <c r="X60" s="205"/>
      <c r="Y60" s="38" t="str">
        <f>IF($AQ$31=0,"",IF($BA$89=FALSE,"","×"))</f>
        <v/>
      </c>
      <c r="Z60" s="206" t="str">
        <f>IF($AQ$31=0,"",IF(BA89=FALSE,"",IF(F56="","",$F$56/100)))</f>
        <v/>
      </c>
      <c r="AA60" s="206"/>
      <c r="AB60" s="38" t="str">
        <f>IF($AQ$31=0,"",IF($BA$89=FALSE,"","×"))</f>
        <v/>
      </c>
      <c r="AC60" s="207" t="str">
        <f>IF($AQ$31=0,"",IF($BA$89=FALSE,"",$AQ$31))</f>
        <v/>
      </c>
      <c r="AD60" s="207"/>
      <c r="AE60" s="207"/>
      <c r="AF60" s="207"/>
      <c r="AG60" s="207"/>
      <c r="AH60" s="38" t="str">
        <f>IF($AQ$31=0,"",IF($BA$89=FALSE,"","＝"))</f>
        <v/>
      </c>
      <c r="AI60" s="266" t="str">
        <f>IF($AQ$31=0,"",IF($BA$89=FALSE,"",IF(F56="","",ROUND(U60*Z60*AC60,0))))</f>
        <v/>
      </c>
      <c r="AJ60" s="266"/>
      <c r="AK60" s="266"/>
      <c r="AL60" s="266"/>
      <c r="AM60" s="266"/>
      <c r="AN60" s="6" t="str">
        <f>IF($AQ$31=0,"",IF($G$88=FALSE,"","計"))</f>
        <v/>
      </c>
      <c r="AO60" s="208" t="str">
        <f>IF($AQ$31=0,"",IF(BA89=TRUE,AI59+AI60,AI59))</f>
        <v/>
      </c>
      <c r="AP60" s="208"/>
      <c r="AQ60" s="208"/>
      <c r="AR60" s="208"/>
      <c r="AS60" s="208"/>
      <c r="AT60" s="192" t="str">
        <f>IF($AQ$31=0,"","上限額③")</f>
        <v/>
      </c>
      <c r="AU60" s="16"/>
      <c r="AV60" s="8"/>
      <c r="AW60" s="31"/>
      <c r="AX60" s="31"/>
      <c r="AY60" s="101"/>
      <c r="AZ60" s="101"/>
      <c r="BA60" s="101"/>
      <c r="BB60" s="101"/>
      <c r="BR60" s="31">
        <v>7</v>
      </c>
      <c r="BS60" s="31" t="s">
        <v>85</v>
      </c>
    </row>
    <row r="61" spans="2:71" ht="18.75" hidden="1" x14ac:dyDescent="0.15">
      <c r="B61" s="16"/>
      <c r="C61" s="106"/>
      <c r="J61" s="106"/>
      <c r="K61" s="116"/>
      <c r="L61" s="16"/>
      <c r="M61" s="21"/>
      <c r="N61" s="16"/>
      <c r="O61" s="103"/>
      <c r="P61" s="103"/>
      <c r="Q61" s="16"/>
      <c r="R61" s="16"/>
      <c r="S61" s="16"/>
      <c r="T61" s="16"/>
      <c r="U61" s="109"/>
      <c r="V61" s="109"/>
      <c r="W61" s="109"/>
      <c r="X61" s="109"/>
      <c r="Y61" s="38"/>
      <c r="Z61" s="110"/>
      <c r="AA61" s="110"/>
      <c r="AB61" s="38"/>
      <c r="AC61" s="112"/>
      <c r="AD61" s="112"/>
      <c r="AE61" s="112"/>
      <c r="AF61" s="112"/>
      <c r="AG61" s="112"/>
      <c r="AH61" s="38"/>
      <c r="AI61" s="185"/>
      <c r="AJ61" s="185"/>
      <c r="AK61" s="185"/>
      <c r="AL61" s="185"/>
      <c r="AM61" s="185"/>
      <c r="AN61" s="6"/>
      <c r="AO61" s="150"/>
      <c r="AP61" s="150"/>
      <c r="AQ61" s="150"/>
      <c r="AR61" s="150"/>
      <c r="AS61" s="150"/>
      <c r="AT61" s="192"/>
      <c r="AU61" s="16"/>
      <c r="AV61" s="8"/>
      <c r="AW61" s="31"/>
      <c r="AX61" s="31"/>
      <c r="AY61" s="101"/>
      <c r="AZ61" s="101"/>
      <c r="BA61" s="101"/>
      <c r="BB61" s="101"/>
      <c r="BR61" s="31">
        <v>8</v>
      </c>
      <c r="BS61" s="31" t="s">
        <v>86</v>
      </c>
    </row>
    <row r="62" spans="2:71" ht="18.75" hidden="1" x14ac:dyDescent="0.15">
      <c r="J62" s="106" t="str">
        <f>IF($AQ$31=0,"","(運    賃)")</f>
        <v/>
      </c>
      <c r="K62" s="16"/>
      <c r="L62" s="16"/>
      <c r="M62" s="21" t="str">
        <f>IF($AQ$31=0,"","(下限額)")</f>
        <v/>
      </c>
      <c r="N62" s="16"/>
      <c r="Q62" s="16"/>
      <c r="R62" s="16"/>
      <c r="S62" s="16"/>
      <c r="T62" s="16"/>
      <c r="U62" s="205" t="str">
        <f>IF($AQ$31=0,"",S9)</f>
        <v/>
      </c>
      <c r="V62" s="205"/>
      <c r="W62" s="205"/>
      <c r="X62" s="205"/>
      <c r="Y62" s="38" t="str">
        <f>IF($AQ$31=0,"","×")</f>
        <v/>
      </c>
      <c r="Z62" s="206" t="str">
        <f>IF($AQ$31=0,"",IF(F56="","",+$F$56/100))</f>
        <v/>
      </c>
      <c r="AA62" s="206"/>
      <c r="AB62" s="38" t="str">
        <f>IF($AQ$31=0,"","×")</f>
        <v/>
      </c>
      <c r="AC62" s="207" t="str">
        <f>IF($AQ$31=0,"",$AQ$31)</f>
        <v/>
      </c>
      <c r="AD62" s="207"/>
      <c r="AE62" s="207"/>
      <c r="AF62" s="207"/>
      <c r="AG62" s="207"/>
      <c r="AH62" s="38" t="str">
        <f>IF($AQ$31=0,"","＝")</f>
        <v/>
      </c>
      <c r="AI62" s="266" t="str">
        <f>IF($AQ$31=0,"",IF(F56="","",ROUND(U62*Z62*AC62,0)))</f>
        <v/>
      </c>
      <c r="AJ62" s="266"/>
      <c r="AK62" s="266"/>
      <c r="AL62" s="266"/>
      <c r="AM62" s="266"/>
      <c r="AQ62" s="132"/>
      <c r="AR62" s="132"/>
      <c r="AS62" s="132"/>
      <c r="AT62" s="16"/>
      <c r="AU62" s="16"/>
      <c r="AV62" s="8"/>
      <c r="AW62" s="31"/>
      <c r="AX62" s="31"/>
      <c r="AY62" s="101"/>
      <c r="AZ62" s="101"/>
      <c r="BA62" s="101"/>
      <c r="BB62" s="101"/>
      <c r="BR62" s="31">
        <v>9</v>
      </c>
      <c r="BS62" s="31" t="s">
        <v>87</v>
      </c>
    </row>
    <row r="63" spans="2:71" ht="18.75" hidden="1" x14ac:dyDescent="0.15">
      <c r="B63" s="16"/>
      <c r="C63" s="106"/>
      <c r="J63" s="106" t="str">
        <f>IF($AQ$31=0,"",IF($BA$89=FALSE,"","(交替運転者配置料金)"))</f>
        <v/>
      </c>
      <c r="K63" s="116"/>
      <c r="L63" s="16"/>
      <c r="M63" s="21" t="str">
        <f>IF($AQ$31=0,"",IF($BA$89=FALSE,"","(下限額)"))</f>
        <v/>
      </c>
      <c r="O63" s="103"/>
      <c r="P63" s="103"/>
      <c r="Q63" s="16"/>
      <c r="R63" s="16"/>
      <c r="S63" s="16"/>
      <c r="T63" s="16"/>
      <c r="U63" s="205" t="str">
        <f>IF($AQ$31=0,"",IF($BA$89=FALSE,"",N88))</f>
        <v/>
      </c>
      <c r="V63" s="205"/>
      <c r="W63" s="205"/>
      <c r="X63" s="205"/>
      <c r="Y63" s="38" t="str">
        <f>IF($AQ$31=0,"",IF($BA$89=FALSE,"","×"))</f>
        <v/>
      </c>
      <c r="Z63" s="227" t="str">
        <f>IF($AQ$31=0,"",IF(BA89=FALSE,"",IF(F56="","",$F$56/100)))</f>
        <v/>
      </c>
      <c r="AA63" s="227"/>
      <c r="AB63" s="38" t="str">
        <f>IF($AQ$31=0,"",IF($BA$89=FALSE,"","×"))</f>
        <v/>
      </c>
      <c r="AC63" s="207" t="str">
        <f>IF($AQ$31=0,"",IF($BA$89=FALSE,"",$AQ$31))</f>
        <v/>
      </c>
      <c r="AD63" s="207"/>
      <c r="AE63" s="207"/>
      <c r="AF63" s="207"/>
      <c r="AG63" s="207"/>
      <c r="AH63" s="38" t="str">
        <f>IF($AQ$31=0,"",IF($BA$89=FALSE,"","＝"))</f>
        <v/>
      </c>
      <c r="AI63" s="266" t="str">
        <f>IF($AQ$31=0,"",IF($BA$89=FALSE,"",IF(F56="","",ROUND(U63*Z63*AC63,0))))</f>
        <v/>
      </c>
      <c r="AJ63" s="266"/>
      <c r="AK63" s="266"/>
      <c r="AL63" s="266"/>
      <c r="AM63" s="266"/>
      <c r="AN63" s="6" t="str">
        <f>IF($AQ$31=0,"",IF($G$88=FALSE,"","計"))</f>
        <v/>
      </c>
      <c r="AO63" s="208" t="str">
        <f>IF($AQ$31=0,"",IF(BA89=TRUE,AI62+AI63,AI62))</f>
        <v/>
      </c>
      <c r="AP63" s="208"/>
      <c r="AQ63" s="208"/>
      <c r="AR63" s="208"/>
      <c r="AS63" s="208"/>
      <c r="AT63" s="113" t="str">
        <f>IF($AQ$31=0,"","下限額④")</f>
        <v/>
      </c>
      <c r="AU63" s="16"/>
      <c r="AV63" s="8"/>
      <c r="AW63" s="31"/>
      <c r="AX63" s="31"/>
      <c r="AY63" s="101"/>
      <c r="AZ63" s="101"/>
      <c r="BA63" s="101"/>
      <c r="BB63" s="101"/>
      <c r="BR63" s="31">
        <v>10</v>
      </c>
      <c r="BS63" s="31" t="s">
        <v>88</v>
      </c>
    </row>
    <row r="64" spans="2:71" ht="13.5" hidden="1" customHeight="1" x14ac:dyDescent="0.15">
      <c r="B64" s="16"/>
      <c r="C64" s="106"/>
      <c r="J64" s="106"/>
      <c r="K64" s="116"/>
      <c r="L64" s="16"/>
      <c r="M64" s="21"/>
      <c r="O64" s="103"/>
      <c r="P64" s="103"/>
      <c r="Q64" s="16"/>
      <c r="R64" s="16"/>
      <c r="S64" s="16"/>
      <c r="T64" s="16"/>
      <c r="U64" s="109"/>
      <c r="V64" s="109"/>
      <c r="W64" s="109"/>
      <c r="X64" s="109"/>
      <c r="Y64" s="38"/>
      <c r="Z64" s="174"/>
      <c r="AA64" s="174"/>
      <c r="AB64" s="38"/>
      <c r="AC64" s="112"/>
      <c r="AD64" s="112"/>
      <c r="AE64" s="112"/>
      <c r="AF64" s="112"/>
      <c r="AG64" s="112"/>
      <c r="AH64" s="38"/>
      <c r="AI64" s="185"/>
      <c r="AJ64" s="185"/>
      <c r="AK64" s="185"/>
      <c r="AL64" s="185"/>
      <c r="AM64" s="185"/>
      <c r="AN64" s="6"/>
      <c r="AO64" s="150"/>
      <c r="AP64" s="150"/>
      <c r="AQ64" s="150"/>
      <c r="AR64" s="150"/>
      <c r="AS64" s="150"/>
      <c r="AT64" s="113"/>
      <c r="AU64" s="16"/>
      <c r="AV64" s="8"/>
      <c r="AW64" s="31"/>
      <c r="AX64" s="31"/>
      <c r="AY64" s="101"/>
      <c r="AZ64" s="101"/>
      <c r="BA64" s="101"/>
      <c r="BB64" s="101"/>
    </row>
    <row r="65" spans="2:54" ht="18.75" hidden="1" x14ac:dyDescent="0.15">
      <c r="B65" s="16"/>
      <c r="C65" s="193" t="str">
        <f>IF($AQ$31=0,"","[20％]")</f>
        <v/>
      </c>
      <c r="J65" s="106"/>
      <c r="K65" s="116"/>
      <c r="L65" s="16"/>
      <c r="M65" s="21"/>
      <c r="O65" s="103"/>
      <c r="P65" s="103"/>
      <c r="Q65" s="16"/>
      <c r="R65" s="16"/>
      <c r="S65" s="16"/>
      <c r="T65" s="16"/>
      <c r="U65" s="109"/>
      <c r="V65" s="109"/>
      <c r="W65" s="109"/>
      <c r="X65" s="109"/>
      <c r="Y65" s="38"/>
      <c r="Z65" s="174"/>
      <c r="AA65" s="174"/>
      <c r="AB65" s="38"/>
      <c r="AC65" s="112"/>
      <c r="AD65" s="112"/>
      <c r="AE65" s="112"/>
      <c r="AF65" s="112"/>
      <c r="AG65" s="112"/>
      <c r="AH65" s="38"/>
      <c r="AI65" s="185"/>
      <c r="AJ65" s="185"/>
      <c r="AK65" s="185"/>
      <c r="AL65" s="185"/>
      <c r="AM65" s="185"/>
      <c r="AN65" s="6"/>
      <c r="AO65" s="150"/>
      <c r="AP65" s="150"/>
      <c r="AQ65" s="150"/>
      <c r="AR65" s="150"/>
      <c r="AS65" s="150"/>
      <c r="AT65" s="113"/>
      <c r="AU65" s="16"/>
      <c r="AV65" s="8"/>
      <c r="AW65" s="31"/>
      <c r="AX65" s="31"/>
      <c r="AY65" s="101"/>
      <c r="AZ65" s="101"/>
      <c r="BA65" s="101"/>
      <c r="BB65" s="101"/>
    </row>
    <row r="66" spans="2:54" ht="20.25" hidden="1" customHeight="1" x14ac:dyDescent="0.15">
      <c r="B66" s="16"/>
      <c r="J66" s="106" t="str">
        <f>IF($AQ$31=0,"","(運    賃)")</f>
        <v/>
      </c>
      <c r="K66" s="16"/>
      <c r="L66" s="16"/>
      <c r="M66" s="21" t="str">
        <f>IF($AQ$31=0,"","（上限額)")</f>
        <v/>
      </c>
      <c r="Q66" s="16"/>
      <c r="R66" s="16"/>
      <c r="S66" s="16"/>
      <c r="T66" s="16"/>
      <c r="U66" s="205" t="str">
        <f>IF($AQ$31=0,"",N9)</f>
        <v/>
      </c>
      <c r="V66" s="205"/>
      <c r="W66" s="205"/>
      <c r="X66" s="205"/>
      <c r="Y66" s="38" t="str">
        <f>IF($AQ$31=0,"","×")</f>
        <v/>
      </c>
      <c r="Z66" s="206" t="str">
        <f>IF($AQ$31=0,"",IF(J56="","",+$J$56/100))</f>
        <v/>
      </c>
      <c r="AA66" s="206"/>
      <c r="AB66" s="38" t="str">
        <f>IF($AQ$31=0,"","×")</f>
        <v/>
      </c>
      <c r="AC66" s="207" t="str">
        <f>IF($AQ$31=0,"",$AQ$31)</f>
        <v/>
      </c>
      <c r="AD66" s="207"/>
      <c r="AE66" s="207"/>
      <c r="AF66" s="207"/>
      <c r="AG66" s="207"/>
      <c r="AH66" s="38" t="str">
        <f>IF($AQ$31=0,"","＝")</f>
        <v/>
      </c>
      <c r="AI66" s="266" t="str">
        <f>IF($AQ$31=0,"",IF(J56="","",ROUND(U66*Z66*AC66,0)))</f>
        <v/>
      </c>
      <c r="AJ66" s="266"/>
      <c r="AK66" s="266"/>
      <c r="AL66" s="266"/>
      <c r="AM66" s="266"/>
      <c r="AQ66" s="132"/>
      <c r="AR66" s="132"/>
      <c r="AS66" s="132"/>
      <c r="AT66" s="16"/>
      <c r="AU66" s="16"/>
      <c r="AV66" s="8"/>
      <c r="AW66" s="31"/>
      <c r="AX66" s="31"/>
      <c r="AY66" s="101"/>
      <c r="AZ66" s="101"/>
      <c r="BA66" s="101"/>
      <c r="BB66" s="101"/>
    </row>
    <row r="67" spans="2:54" ht="25.5" hidden="1" customHeight="1" x14ac:dyDescent="0.15">
      <c r="B67" s="16"/>
      <c r="C67" s="106"/>
      <c r="J67" s="106" t="str">
        <f>IF($AQ$31=0,"",IF($BA$89=FALSE,"","(交替運転者配置料金)"))</f>
        <v/>
      </c>
      <c r="K67" s="116"/>
      <c r="L67" s="16"/>
      <c r="M67" s="21" t="str">
        <f>IF($AQ$31=0,"",IF($BA$89=FALSE,"","(上限額)"))</f>
        <v/>
      </c>
      <c r="N67" s="16"/>
      <c r="O67" s="103"/>
      <c r="P67" s="103"/>
      <c r="Q67" s="16"/>
      <c r="R67" s="16"/>
      <c r="S67" s="16"/>
      <c r="T67" s="16"/>
      <c r="U67" s="205" t="str">
        <f>IF($AQ$31=0,"",IF($BA$89=FALSE,"",J88))</f>
        <v/>
      </c>
      <c r="V67" s="205"/>
      <c r="W67" s="205"/>
      <c r="X67" s="205"/>
      <c r="Y67" s="38" t="str">
        <f>IF($AQ$31=0,"",IF($BA$89=FALSE,"","×"))</f>
        <v/>
      </c>
      <c r="Z67" s="206" t="str">
        <f>IF($AQ$31=0,"",IF(BA89=FALSE,"",IF(J56="","",$J$56/100)))</f>
        <v/>
      </c>
      <c r="AA67" s="206"/>
      <c r="AB67" s="38" t="str">
        <f>IF($AQ$31=0,"",IF($BA$89=FALSE,"","×"))</f>
        <v/>
      </c>
      <c r="AC67" s="207" t="str">
        <f>IF($AQ$31=0,"",IF($BA$89=FALSE,"",$AQ$31))</f>
        <v/>
      </c>
      <c r="AD67" s="207"/>
      <c r="AE67" s="207"/>
      <c r="AF67" s="207"/>
      <c r="AG67" s="207"/>
      <c r="AH67" s="38" t="str">
        <f>IF($AQ$31=0,"",IF($BA$89=FALSE,"","＝"))</f>
        <v/>
      </c>
      <c r="AI67" s="266" t="str">
        <f>IF($AQ$31=0,"",IF($BA$89=FALSE,"",IF(J56="","",ROUND(U67*Z67*AC67,0))))</f>
        <v/>
      </c>
      <c r="AJ67" s="266"/>
      <c r="AK67" s="266"/>
      <c r="AL67" s="266"/>
      <c r="AM67" s="266"/>
      <c r="AN67" s="6" t="str">
        <f>IF($AQ$31=0,"",IF($G$88=FALSE,"","計"))</f>
        <v/>
      </c>
      <c r="AO67" s="208" t="str">
        <f>IF($AQ$31=0,"",IF(BA89=TRUE,AI66+AI67,AI66))</f>
        <v/>
      </c>
      <c r="AP67" s="208"/>
      <c r="AQ67" s="208"/>
      <c r="AR67" s="208"/>
      <c r="AS67" s="208"/>
      <c r="AT67" s="192" t="str">
        <f>IF($AQ$31=0,"","上限額③'")</f>
        <v/>
      </c>
      <c r="AU67" s="16"/>
      <c r="AV67" s="8"/>
      <c r="AW67" s="31"/>
      <c r="AX67" s="31"/>
      <c r="AY67" s="101"/>
      <c r="AZ67" s="101"/>
      <c r="BA67" s="101"/>
      <c r="BB67" s="101"/>
    </row>
    <row r="68" spans="2:54" ht="25.5" hidden="1" customHeight="1" x14ac:dyDescent="0.15">
      <c r="B68" s="16"/>
      <c r="C68" s="106"/>
      <c r="J68" s="106"/>
      <c r="K68" s="116"/>
      <c r="L68" s="16"/>
      <c r="M68" s="21"/>
      <c r="N68" s="16"/>
      <c r="O68" s="103"/>
      <c r="P68" s="103"/>
      <c r="Q68" s="16"/>
      <c r="R68" s="16"/>
      <c r="S68" s="16"/>
      <c r="T68" s="16"/>
      <c r="U68" s="109"/>
      <c r="V68" s="109"/>
      <c r="W68" s="109"/>
      <c r="X68" s="109"/>
      <c r="Y68" s="38"/>
      <c r="Z68" s="110"/>
      <c r="AA68" s="110"/>
      <c r="AB68" s="38"/>
      <c r="AC68" s="112"/>
      <c r="AD68" s="112"/>
      <c r="AE68" s="112"/>
      <c r="AF68" s="112"/>
      <c r="AG68" s="112"/>
      <c r="AH68" s="38"/>
      <c r="AI68" s="185"/>
      <c r="AJ68" s="185"/>
      <c r="AK68" s="185"/>
      <c r="AL68" s="185"/>
      <c r="AM68" s="185"/>
      <c r="AN68" s="6"/>
      <c r="AO68" s="150"/>
      <c r="AP68" s="150"/>
      <c r="AQ68" s="150"/>
      <c r="AR68" s="150"/>
      <c r="AS68" s="150"/>
      <c r="AT68" s="192"/>
      <c r="AU68" s="16"/>
      <c r="AV68" s="8"/>
      <c r="AW68" s="31"/>
      <c r="AX68" s="31"/>
      <c r="AY68" s="101"/>
      <c r="AZ68" s="101"/>
      <c r="BA68" s="101"/>
      <c r="BB68" s="101"/>
    </row>
    <row r="69" spans="2:54" ht="14.25" customHeight="1" x14ac:dyDescent="0.15">
      <c r="B69" s="16"/>
      <c r="J69" s="106" t="str">
        <f>IF($AQ$31=0,"","(運    賃)")</f>
        <v/>
      </c>
      <c r="K69" s="16"/>
      <c r="L69" s="16"/>
      <c r="M69" s="21" t="str">
        <f>IF($AQ$31=0,"","(下限額)")</f>
        <v/>
      </c>
      <c r="N69" s="16"/>
      <c r="Q69" s="16"/>
      <c r="R69" s="16"/>
      <c r="S69" s="16"/>
      <c r="T69" s="16"/>
      <c r="U69" s="205" t="str">
        <f>IF($AQ$31=0,"",S9)</f>
        <v/>
      </c>
      <c r="V69" s="205"/>
      <c r="W69" s="205"/>
      <c r="X69" s="205"/>
      <c r="Y69" s="38" t="str">
        <f>IF($AQ$31=0,"","×")</f>
        <v/>
      </c>
      <c r="Z69" s="206" t="str">
        <f>IF($AQ$31=0,"",IF(J56="","",+$J$56/100))</f>
        <v/>
      </c>
      <c r="AA69" s="206"/>
      <c r="AB69" s="38" t="str">
        <f>IF($AQ$31=0,"","×")</f>
        <v/>
      </c>
      <c r="AC69" s="207" t="str">
        <f>IF($AQ$31=0,"",$AQ$31)</f>
        <v/>
      </c>
      <c r="AD69" s="207"/>
      <c r="AE69" s="207"/>
      <c r="AF69" s="207"/>
      <c r="AG69" s="207"/>
      <c r="AH69" s="38" t="str">
        <f>IF($AQ$31=0,"","＝")</f>
        <v/>
      </c>
      <c r="AI69" s="266" t="str">
        <f>IF($AQ$31=0,"",IF(J59="","",ROUND(U69*Z69*AC69,0)))</f>
        <v/>
      </c>
      <c r="AJ69" s="266"/>
      <c r="AK69" s="266"/>
      <c r="AL69" s="266"/>
      <c r="AM69" s="266"/>
      <c r="AQ69" s="132"/>
      <c r="AR69" s="132"/>
      <c r="AS69" s="132"/>
      <c r="AT69" s="16"/>
      <c r="AU69" s="16"/>
      <c r="AV69" s="8"/>
      <c r="AW69" s="31"/>
      <c r="AX69" s="31"/>
      <c r="AY69" s="101"/>
      <c r="AZ69" s="101"/>
      <c r="BA69" s="101"/>
      <c r="BB69" s="101"/>
    </row>
    <row r="70" spans="2:54" ht="18.75" x14ac:dyDescent="0.15">
      <c r="C70" s="106"/>
      <c r="J70" s="106" t="str">
        <f>IF($AQ$31=0,"",IF($BA$89=FALSE,"","(交替運転者配置料金)"))</f>
        <v/>
      </c>
      <c r="K70" s="116"/>
      <c r="L70" s="16"/>
      <c r="M70" s="21" t="str">
        <f>IF($AQ$31=0,"",IF($BA$89=FALSE,"","(下限額)"))</f>
        <v/>
      </c>
      <c r="O70" s="103"/>
      <c r="P70" s="103"/>
      <c r="Q70" s="16"/>
      <c r="R70" s="16"/>
      <c r="S70" s="16"/>
      <c r="T70" s="16"/>
      <c r="U70" s="205" t="str">
        <f>IF($AQ$31=0,"",IF($BA$89=FALSE,"",N88))</f>
        <v/>
      </c>
      <c r="V70" s="205"/>
      <c r="W70" s="205"/>
      <c r="X70" s="205"/>
      <c r="Y70" s="38" t="str">
        <f>IF($AQ$31=0,"",IF($BA$89=FALSE,"","×"))</f>
        <v/>
      </c>
      <c r="Z70" s="227" t="str">
        <f>IF($AQ$31=0,"",IF(BA89=FALSE,"",IF(J56="","",$J$56/100)))</f>
        <v/>
      </c>
      <c r="AA70" s="227"/>
      <c r="AB70" s="38" t="str">
        <f>IF($AQ$31=0,"",IF($BA$89=FALSE,"","×"))</f>
        <v/>
      </c>
      <c r="AC70" s="207" t="str">
        <f>IF($AQ$31=0,"",IF($BA$89=FALSE,"",$AQ$31))</f>
        <v/>
      </c>
      <c r="AD70" s="207"/>
      <c r="AE70" s="207"/>
      <c r="AF70" s="207"/>
      <c r="AG70" s="207"/>
      <c r="AH70" s="38" t="str">
        <f>IF($AQ$31=0,"",IF($BA$89=FALSE,"","＝"))</f>
        <v/>
      </c>
      <c r="AI70" s="266" t="str">
        <f>IF($AQ$31=0,"",IF($BA$89=FALSE,"",IF(J56="","",ROUND(U70*Z70*AC70,0))))</f>
        <v/>
      </c>
      <c r="AJ70" s="266"/>
      <c r="AK70" s="266"/>
      <c r="AL70" s="266"/>
      <c r="AM70" s="266"/>
      <c r="AN70" s="6" t="str">
        <f>IF($AQ$31=0,"",IF($G$88=FALSE,"","計"))</f>
        <v/>
      </c>
      <c r="AO70" s="208" t="str">
        <f>IF($AQ$31=0,"",IF(BA89=TRUE,AI69+AI70,AI69))</f>
        <v/>
      </c>
      <c r="AP70" s="208"/>
      <c r="AQ70" s="208"/>
      <c r="AR70" s="208"/>
      <c r="AS70" s="208"/>
      <c r="AT70" s="113" t="str">
        <f>IF($AQ$31=0,"","深夜早朝料金")</f>
        <v/>
      </c>
      <c r="AU70" s="16"/>
      <c r="AV70" s="8"/>
      <c r="AW70" s="194"/>
      <c r="AX70" s="194"/>
      <c r="AY70" s="101"/>
      <c r="AZ70" s="101"/>
      <c r="BA70" s="101"/>
      <c r="BB70" s="101"/>
    </row>
    <row r="71" spans="2:54" ht="18.75" x14ac:dyDescent="0.15">
      <c r="C71" s="106"/>
      <c r="J71" s="106"/>
      <c r="K71" s="116"/>
      <c r="L71" s="16"/>
      <c r="M71" s="21"/>
      <c r="O71" s="103"/>
      <c r="P71" s="103"/>
      <c r="Q71" s="16"/>
      <c r="R71" s="16"/>
      <c r="S71" s="16"/>
      <c r="T71" s="16"/>
      <c r="U71" s="109"/>
      <c r="V71" s="109"/>
      <c r="W71" s="109"/>
      <c r="X71" s="109"/>
      <c r="Y71" s="38"/>
      <c r="Z71" s="174"/>
      <c r="AA71" s="174"/>
      <c r="AB71" s="38"/>
      <c r="AC71" s="112"/>
      <c r="AD71" s="112"/>
      <c r="AE71" s="112"/>
      <c r="AF71" s="112"/>
      <c r="AG71" s="112"/>
      <c r="AH71" s="38"/>
      <c r="AI71" s="185"/>
      <c r="AJ71" s="185"/>
      <c r="AK71" s="185"/>
      <c r="AL71" s="185"/>
      <c r="AM71" s="185"/>
      <c r="AN71" s="6"/>
      <c r="AO71" s="150"/>
      <c r="AP71" s="150"/>
      <c r="AQ71" s="150"/>
      <c r="AR71" s="150"/>
      <c r="AS71" s="150"/>
      <c r="AT71" s="113"/>
      <c r="AU71" s="16"/>
      <c r="AV71" s="8"/>
      <c r="AW71" s="144"/>
      <c r="AX71" s="144"/>
      <c r="AY71" s="101"/>
      <c r="AZ71" s="101"/>
      <c r="BA71" s="101"/>
      <c r="BB71" s="101"/>
    </row>
    <row r="72" spans="2:54" ht="18.75" x14ac:dyDescent="0.15">
      <c r="C72" s="8"/>
      <c r="E72" s="86" t="s">
        <v>25</v>
      </c>
      <c r="K72" s="3"/>
      <c r="AI72" s="3"/>
      <c r="AJ72" s="3"/>
      <c r="AY72" s="101"/>
      <c r="AZ72" s="101"/>
      <c r="BA72" s="101"/>
      <c r="BB72" s="101"/>
    </row>
    <row r="73" spans="2:54" ht="25.5" customHeight="1" thickBot="1" x14ac:dyDescent="0.2">
      <c r="C73" s="8"/>
      <c r="D73" s="58" t="s">
        <v>112</v>
      </c>
      <c r="AJ73" s="3"/>
      <c r="AY73" s="101"/>
      <c r="AZ73" s="101"/>
      <c r="BA73" s="101"/>
      <c r="BB73" s="101"/>
    </row>
    <row r="74" spans="2:54" ht="25.5" hidden="1" customHeight="1" thickBot="1" x14ac:dyDescent="0.2">
      <c r="C74" s="8"/>
      <c r="D74" s="58"/>
      <c r="M74" s="9" t="str">
        <f>IF(BA76=FALSE,"","上限")</f>
        <v>上限</v>
      </c>
      <c r="N74" s="9"/>
      <c r="O74" s="9"/>
      <c r="P74" s="9"/>
      <c r="Q74" s="5" t="str">
        <f>IF(BA76=FALSE,"","下限")</f>
        <v>下限</v>
      </c>
      <c r="AJ74" s="3"/>
      <c r="AY74" s="101"/>
      <c r="AZ74" s="101"/>
      <c r="BA74" s="101"/>
      <c r="BB74" s="101"/>
    </row>
    <row r="75" spans="2:54" ht="19.5" thickBot="1" x14ac:dyDescent="0.2">
      <c r="G75" s="212"/>
      <c r="H75" s="212"/>
      <c r="J75" s="5" t="str">
        <f>IF(BA76=FALSE,"","割増率")</f>
        <v>割増率</v>
      </c>
      <c r="M75" s="260">
        <v>50</v>
      </c>
      <c r="N75" s="260"/>
      <c r="O75" s="187" t="str">
        <f>IF(BA76=FALSE,"","％")</f>
        <v>％</v>
      </c>
      <c r="P75" s="188" t="str">
        <f>IF(BA76=FALSE,"","～")</f>
        <v>～</v>
      </c>
      <c r="Q75" s="261">
        <v>20</v>
      </c>
      <c r="R75" s="262"/>
      <c r="S75" s="3" t="str">
        <f>IF(BA76=FALSE,"","％")</f>
        <v>％</v>
      </c>
      <c r="T75" s="263" t="s">
        <v>125</v>
      </c>
      <c r="U75" s="264"/>
      <c r="V75" s="264"/>
      <c r="W75" s="264"/>
      <c r="X75" s="264"/>
      <c r="Y75" s="264"/>
      <c r="Z75" s="264"/>
      <c r="AA75" s="264"/>
      <c r="AB75" s="264"/>
      <c r="AC75" s="264"/>
      <c r="AD75" s="264"/>
      <c r="AE75" s="264"/>
      <c r="AF75" s="264"/>
      <c r="AG75" s="264"/>
      <c r="AY75" s="101"/>
      <c r="AZ75" s="101"/>
      <c r="BA75" s="101"/>
      <c r="BB75" s="101"/>
    </row>
    <row r="76" spans="2:54" ht="18.75" x14ac:dyDescent="0.15">
      <c r="C76" s="9" t="str">
        <f>IF($BA$76=FALSE,"","[上限50％]")</f>
        <v>[上限50％]</v>
      </c>
      <c r="D76" s="9"/>
      <c r="E76" s="9"/>
      <c r="P76" s="1"/>
      <c r="Y76" s="171"/>
      <c r="Z76" s="171"/>
      <c r="AA76" s="171"/>
      <c r="AB76" s="171"/>
      <c r="AC76" s="171"/>
      <c r="AD76" s="171"/>
      <c r="AE76" s="171"/>
      <c r="AF76" s="171"/>
      <c r="AG76" s="171"/>
      <c r="AH76" s="171"/>
      <c r="AI76" s="171"/>
      <c r="AJ76" s="171"/>
      <c r="AK76" s="171"/>
      <c r="AL76" s="171"/>
      <c r="AM76" s="171"/>
      <c r="AN76" s="171"/>
      <c r="AO76" s="171"/>
      <c r="AP76" s="171"/>
      <c r="AQ76" s="171"/>
      <c r="AR76" s="171"/>
      <c r="AY76" s="149"/>
      <c r="AZ76" s="149"/>
      <c r="BA76" s="130" t="b">
        <v>1</v>
      </c>
      <c r="BB76" s="148"/>
    </row>
    <row r="77" spans="2:54" ht="18.75" x14ac:dyDescent="0.15">
      <c r="C77" s="9"/>
      <c r="D77" s="195"/>
      <c r="E77" s="195"/>
      <c r="F77" s="171"/>
      <c r="G77" s="265" t="str">
        <f>IF(BA76=FALSE,"","運賃")</f>
        <v>運賃</v>
      </c>
      <c r="H77" s="265"/>
      <c r="I77" s="265"/>
      <c r="J77" s="265"/>
      <c r="K77" s="171"/>
      <c r="L77" s="265" t="str">
        <f>IF(BA76=FALSE,"","割増率")</f>
        <v>割増率</v>
      </c>
      <c r="M77" s="265"/>
      <c r="N77" s="171"/>
      <c r="O77" s="171"/>
      <c r="P77" s="171"/>
      <c r="Q77" s="171"/>
      <c r="R77" s="171"/>
      <c r="S77" s="171"/>
      <c r="T77" s="171"/>
      <c r="U77" s="171"/>
      <c r="V77" s="171"/>
      <c r="W77" s="171"/>
      <c r="X77" s="171"/>
      <c r="Y77" s="171"/>
      <c r="Z77" s="171"/>
      <c r="AA77" s="171"/>
      <c r="AB77" s="171"/>
      <c r="AC77" s="171"/>
      <c r="AD77" s="171"/>
      <c r="AE77" s="171"/>
      <c r="AF77" s="171"/>
      <c r="AG77" s="171"/>
      <c r="AH77" s="171"/>
      <c r="AI77" s="171"/>
      <c r="AJ77" s="171"/>
      <c r="AK77" s="171"/>
      <c r="AL77" s="171"/>
      <c r="AM77" s="171"/>
      <c r="AN77" s="171"/>
      <c r="AO77" s="171"/>
      <c r="AP77" s="171"/>
      <c r="AQ77" s="171"/>
      <c r="AR77" s="171"/>
      <c r="AY77" s="134"/>
      <c r="AZ77" s="101"/>
      <c r="BA77" s="101"/>
      <c r="BB77" s="148"/>
    </row>
    <row r="78" spans="2:54" ht="18.75" hidden="1" x14ac:dyDescent="0.15">
      <c r="C78" s="9"/>
      <c r="D78" s="195"/>
      <c r="E78" s="195"/>
      <c r="F78" s="257" t="e">
        <f>IF(BA76=FALSE,"",IF(BC41=1,AF44,AB51))</f>
        <v>#VALUE!</v>
      </c>
      <c r="G78" s="257"/>
      <c r="H78" s="257"/>
      <c r="I78" s="257"/>
      <c r="J78" s="257"/>
      <c r="K78" s="196" t="str">
        <f>IF(BA76=FALSE,"","×")</f>
        <v>×</v>
      </c>
      <c r="L78" s="258">
        <f>IF(BA76=FALSE,"",IF(M75="","",$M$75/100))</f>
        <v>0.5</v>
      </c>
      <c r="M78" s="258"/>
      <c r="N78" s="197"/>
      <c r="O78" s="140" t="str">
        <f>IF(BA76=FALSE,"","=")</f>
        <v>=</v>
      </c>
      <c r="P78" s="259" t="str">
        <f>IF(BA76=FALSE,"",IF(ISERROR(ROUND(F78*L78,0)),"",ROUND(F78*L78,0)))</f>
        <v/>
      </c>
      <c r="Q78" s="259"/>
      <c r="R78" s="259"/>
      <c r="S78" s="259"/>
      <c r="T78" s="259"/>
      <c r="U78" s="259"/>
      <c r="V78" s="259"/>
      <c r="W78" s="171" t="str">
        <f>IF(BA76=FALSE,"","上限額⑤")</f>
        <v>上限額⑤</v>
      </c>
      <c r="X78" s="140"/>
      <c r="Y78" s="140"/>
      <c r="Z78" s="140"/>
      <c r="AA78" s="171"/>
      <c r="AB78" s="171"/>
      <c r="AC78" s="109"/>
      <c r="AD78" s="109"/>
      <c r="AE78" s="110"/>
      <c r="AF78" s="110"/>
      <c r="AG78" s="110"/>
      <c r="AI78" s="186"/>
      <c r="AJ78" s="186"/>
      <c r="AK78" s="186"/>
      <c r="AL78" s="186"/>
      <c r="AM78" s="186"/>
      <c r="AN78" s="186"/>
      <c r="AO78" s="186"/>
      <c r="AP78" s="8"/>
      <c r="AY78" s="134"/>
      <c r="AZ78" s="101"/>
      <c r="BA78" s="101"/>
      <c r="BB78" s="148"/>
    </row>
    <row r="79" spans="2:54" ht="18.75" hidden="1" x14ac:dyDescent="0.15">
      <c r="C79" s="9"/>
      <c r="D79" s="9"/>
      <c r="E79" s="9"/>
      <c r="F79" s="205" t="str">
        <f>IF(BA76=FALSE,"",IF(BC41=1,AF46,AF46))</f>
        <v/>
      </c>
      <c r="G79" s="205"/>
      <c r="H79" s="205"/>
      <c r="I79" s="205"/>
      <c r="J79" s="205"/>
      <c r="K79" s="109" t="str">
        <f>IF(BA76=FALSE,"","×")</f>
        <v>×</v>
      </c>
      <c r="L79" s="206">
        <f>IF(BA76=FALSE,"",IF(M75="","",$M$75/100))</f>
        <v>0.5</v>
      </c>
      <c r="M79" s="206"/>
      <c r="N79" s="155"/>
      <c r="O79" s="5" t="str">
        <f>IF(BA76=FALSE,"","=")</f>
        <v>=</v>
      </c>
      <c r="P79" s="256" t="str">
        <f>IF(BA76=FALSE,"",IF(ISERROR(ROUND(F79*L79,0)),"",ROUND(F79*L79,0)))</f>
        <v/>
      </c>
      <c r="Q79" s="256"/>
      <c r="R79" s="256"/>
      <c r="S79" s="256"/>
      <c r="T79" s="256"/>
      <c r="U79" s="256"/>
      <c r="V79" s="256"/>
      <c r="W79" s="8" t="str">
        <f>IF(BA76=FALSE,"","下限額⑥")</f>
        <v>下限額⑥</v>
      </c>
      <c r="AA79" s="109"/>
      <c r="AB79" s="109"/>
      <c r="AC79" s="109"/>
      <c r="AD79" s="109"/>
      <c r="AE79" s="110"/>
      <c r="AF79" s="110"/>
      <c r="AG79" s="110"/>
      <c r="AI79" s="186"/>
      <c r="AJ79" s="186"/>
      <c r="AK79" s="186"/>
      <c r="AL79" s="186"/>
      <c r="AM79" s="186"/>
      <c r="AN79" s="186"/>
      <c r="AO79" s="186"/>
      <c r="AP79" s="8"/>
      <c r="AY79" s="134"/>
      <c r="AZ79" s="101"/>
      <c r="BA79" s="101"/>
      <c r="BB79" s="148"/>
    </row>
    <row r="80" spans="2:54" ht="18.75" hidden="1" x14ac:dyDescent="0.15">
      <c r="C80" s="9" t="str">
        <f>IF($BA$76=FALSE,"","[下限1％]")</f>
        <v>[下限1％]</v>
      </c>
      <c r="D80" s="9"/>
      <c r="E80" s="9"/>
      <c r="P80" s="1"/>
      <c r="Y80" s="109"/>
      <c r="Z80" s="109"/>
      <c r="AA80" s="109"/>
      <c r="AB80" s="109"/>
      <c r="AC80" s="109"/>
      <c r="AD80" s="109"/>
      <c r="AE80" s="110"/>
      <c r="AF80" s="110"/>
      <c r="AG80" s="110"/>
      <c r="AI80" s="186"/>
      <c r="AJ80" s="186"/>
      <c r="AK80" s="186"/>
      <c r="AL80" s="186"/>
      <c r="AM80" s="186"/>
      <c r="AN80" s="186"/>
      <c r="AO80" s="186"/>
      <c r="AP80" s="8"/>
      <c r="AY80" s="134"/>
      <c r="AZ80" s="101"/>
      <c r="BA80" s="101"/>
      <c r="BB80" s="148"/>
    </row>
    <row r="81" spans="1:62" ht="18.75" hidden="1" x14ac:dyDescent="0.15">
      <c r="D81" s="171"/>
      <c r="E81" s="171"/>
      <c r="F81" s="205" t="e">
        <f>IF(BA76=FALSE,"",IF(BC41=1,AF44,AB51))</f>
        <v>#VALUE!</v>
      </c>
      <c r="G81" s="205"/>
      <c r="H81" s="205"/>
      <c r="I81" s="205"/>
      <c r="J81" s="205"/>
      <c r="K81" s="109" t="str">
        <f>IF(BA76=FALSE,"","×")</f>
        <v>×</v>
      </c>
      <c r="L81" s="206">
        <f>IF(BA76=FALSE,"",IF(Q75="","",$Q$75/100))</f>
        <v>0.2</v>
      </c>
      <c r="M81" s="206"/>
      <c r="N81" s="155"/>
      <c r="O81" s="5" t="str">
        <f>IF(BA76=FALSE,"","=")</f>
        <v>=</v>
      </c>
      <c r="P81" s="256" t="str">
        <f>IF(BA76=FALSE,"",IF(ISERROR(ROUND(F81*L81,0)),"",ROUND(F81*L81,0)))</f>
        <v/>
      </c>
      <c r="Q81" s="256"/>
      <c r="R81" s="256"/>
      <c r="S81" s="256"/>
      <c r="T81" s="256"/>
      <c r="U81" s="256"/>
      <c r="V81" s="256"/>
      <c r="W81" s="8" t="str">
        <f>IF(BA76=FALSE,"","上限額⑤'")</f>
        <v>上限額⑤'</v>
      </c>
      <c r="Z81" s="109"/>
      <c r="AA81" s="109"/>
      <c r="AB81" s="109"/>
      <c r="AC81" s="109"/>
      <c r="AD81" s="109"/>
      <c r="AE81" s="110"/>
      <c r="AF81" s="110"/>
      <c r="AG81" s="110"/>
      <c r="AI81" s="186"/>
      <c r="AJ81" s="186"/>
      <c r="AK81" s="186"/>
      <c r="AL81" s="186"/>
      <c r="AM81" s="186"/>
      <c r="AN81" s="186"/>
      <c r="AO81" s="186"/>
      <c r="AP81" s="8"/>
      <c r="AY81" s="134"/>
      <c r="AZ81" s="101"/>
      <c r="BA81" s="101"/>
      <c r="BB81" s="148"/>
    </row>
    <row r="82" spans="1:62" ht="18.75" x14ac:dyDescent="0.15">
      <c r="D82" s="171"/>
      <c r="E82" s="171"/>
      <c r="F82" s="205" t="str">
        <f>IF(BA76=FALSE,"",IF(BC41=1,AF46,AF46))</f>
        <v/>
      </c>
      <c r="G82" s="205"/>
      <c r="H82" s="205"/>
      <c r="I82" s="205"/>
      <c r="J82" s="205"/>
      <c r="K82" s="109" t="str">
        <f>IF(BA76=FALSE,"","×")</f>
        <v>×</v>
      </c>
      <c r="L82" s="206">
        <f>IF(BA76=FALSE,"",IF(Q75="","",$Q$75/100))</f>
        <v>0.2</v>
      </c>
      <c r="M82" s="206"/>
      <c r="N82" s="155"/>
      <c r="O82" s="5" t="str">
        <f>IF(BA76=FALSE,"","=")</f>
        <v>=</v>
      </c>
      <c r="P82" s="256" t="str">
        <f>IF(BA76=FALSE,"",IF(ISERROR(ROUND(F82*L82,0)),"",ROUND(F82*L82,0)))</f>
        <v/>
      </c>
      <c r="Q82" s="256"/>
      <c r="R82" s="256"/>
      <c r="S82" s="256"/>
      <c r="T82" s="256"/>
      <c r="U82" s="256"/>
      <c r="V82" s="256"/>
      <c r="W82" s="8" t="str">
        <f>IF(BA76=FALSE,"","特殊車両料金")</f>
        <v>特殊車両料金</v>
      </c>
      <c r="Z82" s="109"/>
      <c r="AA82" s="109"/>
      <c r="AB82" s="109"/>
      <c r="AC82" s="109"/>
      <c r="AD82" s="109"/>
      <c r="AE82" s="110"/>
      <c r="AF82" s="110"/>
      <c r="AG82" s="110"/>
      <c r="AI82" s="186"/>
      <c r="AJ82" s="186"/>
      <c r="AK82" s="186"/>
      <c r="AL82" s="186"/>
      <c r="AM82" s="186"/>
      <c r="AN82" s="186"/>
      <c r="AO82" s="186"/>
      <c r="AP82" s="8"/>
      <c r="AY82" s="134"/>
      <c r="AZ82" s="101"/>
      <c r="BA82" s="101"/>
      <c r="BB82" s="148"/>
    </row>
    <row r="83" spans="1:62" ht="18.75" x14ac:dyDescent="0.15">
      <c r="P83" s="1"/>
      <c r="Y83" s="109"/>
      <c r="Z83" s="109"/>
      <c r="AA83" s="109"/>
      <c r="AB83" s="109"/>
      <c r="AC83" s="109"/>
      <c r="AD83" s="109"/>
      <c r="AE83" s="110"/>
      <c r="AF83" s="110"/>
      <c r="AG83" s="110"/>
      <c r="AI83" s="186"/>
      <c r="AJ83" s="186"/>
      <c r="AK83" s="186"/>
      <c r="AL83" s="186"/>
      <c r="AM83" s="186"/>
      <c r="AN83" s="186"/>
      <c r="AO83" s="186"/>
      <c r="AP83" s="87"/>
      <c r="AY83" s="101"/>
      <c r="AZ83" s="101"/>
      <c r="BA83" s="101"/>
      <c r="BB83" s="148"/>
    </row>
    <row r="84" spans="1:62" ht="18.75" x14ac:dyDescent="0.15">
      <c r="A84" s="8"/>
      <c r="B84" s="8"/>
      <c r="E84" s="121" t="s">
        <v>26</v>
      </c>
      <c r="M84" s="3"/>
      <c r="AY84" s="101"/>
      <c r="AZ84" s="101"/>
      <c r="BA84" s="101"/>
      <c r="BB84" s="101"/>
    </row>
    <row r="85" spans="1:62" x14ac:dyDescent="0.15">
      <c r="A85" s="8"/>
      <c r="B85" s="8"/>
      <c r="D85" s="254" t="s">
        <v>113</v>
      </c>
      <c r="E85" s="254"/>
      <c r="F85" s="254"/>
      <c r="G85" s="254"/>
      <c r="H85" s="254"/>
      <c r="I85" s="254"/>
      <c r="J85" s="254"/>
      <c r="K85" s="254"/>
      <c r="L85" s="254"/>
      <c r="M85" s="254"/>
      <c r="N85" s="254"/>
      <c r="O85" s="254"/>
      <c r="P85" s="254"/>
      <c r="Q85" s="254"/>
      <c r="R85" s="254"/>
      <c r="S85" s="254"/>
      <c r="T85" s="254"/>
      <c r="AY85" s="101"/>
      <c r="AZ85" s="101"/>
      <c r="BA85" s="101"/>
      <c r="BB85" s="101"/>
    </row>
    <row r="86" spans="1:62" x14ac:dyDescent="0.15">
      <c r="A86" s="8"/>
      <c r="B86" s="8"/>
      <c r="D86" s="254"/>
      <c r="E86" s="254"/>
      <c r="F86" s="254"/>
      <c r="G86" s="254"/>
      <c r="H86" s="254"/>
      <c r="I86" s="254"/>
      <c r="J86" s="254"/>
      <c r="K86" s="254"/>
      <c r="L86" s="254"/>
      <c r="M86" s="254"/>
      <c r="N86" s="254"/>
      <c r="O86" s="254"/>
      <c r="P86" s="254"/>
      <c r="Q86" s="254"/>
      <c r="R86" s="254"/>
      <c r="S86" s="254"/>
      <c r="T86" s="254"/>
      <c r="Y86" s="16"/>
      <c r="Z86" s="16"/>
      <c r="AA86" s="16"/>
      <c r="AB86" s="16"/>
      <c r="AC86" s="16"/>
      <c r="AD86" s="16"/>
      <c r="AE86" s="16"/>
      <c r="AY86" s="101"/>
      <c r="AZ86" s="101"/>
      <c r="BA86" s="101"/>
      <c r="BB86" s="101"/>
      <c r="BC86" s="137"/>
      <c r="BJ86" s="138"/>
    </row>
    <row r="87" spans="1:62" hidden="1" x14ac:dyDescent="0.15">
      <c r="A87" s="8"/>
      <c r="B87" s="8"/>
      <c r="D87" s="123"/>
      <c r="E87" s="123"/>
      <c r="F87" s="123"/>
      <c r="G87" s="123"/>
      <c r="H87" s="123"/>
      <c r="I87" s="123"/>
      <c r="J87" s="255" t="str">
        <f>IF(BA89=FALSE,"","上限額")</f>
        <v>上限額</v>
      </c>
      <c r="K87" s="255"/>
      <c r="L87" s="255"/>
      <c r="M87" s="59"/>
      <c r="N87" s="255" t="str">
        <f>IF(BA89=FALSE,"","下限額")</f>
        <v>下限額</v>
      </c>
      <c r="O87" s="255"/>
      <c r="P87" s="255"/>
      <c r="AN87" s="8"/>
      <c r="AO87" s="8"/>
      <c r="AP87" s="8"/>
      <c r="AQ87" s="8"/>
      <c r="AR87" s="8"/>
      <c r="AS87" s="8"/>
      <c r="AT87" s="8"/>
      <c r="AU87" s="8"/>
      <c r="AV87" s="8"/>
      <c r="AW87" s="31"/>
      <c r="AX87" s="31"/>
      <c r="AY87" s="101"/>
      <c r="AZ87" s="101"/>
      <c r="BA87" s="101"/>
      <c r="BB87" s="101"/>
      <c r="BC87" s="137"/>
      <c r="BJ87" s="138"/>
    </row>
    <row r="88" spans="1:62" x14ac:dyDescent="0.15">
      <c r="A88" s="8"/>
      <c r="G88" s="252" t="str">
        <f>IF(BA89=FALSE,"","時間単価")</f>
        <v>時間単価</v>
      </c>
      <c r="H88" s="252"/>
      <c r="I88" s="252"/>
      <c r="J88" s="253">
        <f ca="1">IF(BA89=FALSE,"",INDEX(INDIRECT(VLOOKUP(BC5,BD89:BF100,2,FALSE)),2,1))</f>
        <v>0</v>
      </c>
      <c r="K88" s="253"/>
      <c r="L88" s="253"/>
      <c r="M88" s="107" t="str">
        <f>IF(BA89=FALSE,"","～")</f>
        <v>～</v>
      </c>
      <c r="N88" s="240">
        <f ca="1">IF(BA89=FALSE,"",INDEX(INDIRECT(VLOOKUP(BC5,BD89:BF100,2,FALSE)),2,2))</f>
        <v>2300</v>
      </c>
      <c r="O88" s="240"/>
      <c r="P88" s="240"/>
      <c r="Q88" s="55"/>
      <c r="AO88" s="8"/>
      <c r="AP88" s="8"/>
      <c r="AQ88" s="8"/>
      <c r="AR88" s="8"/>
      <c r="AS88" s="8"/>
      <c r="AT88" s="8"/>
      <c r="AU88" s="8"/>
      <c r="AV88" s="8"/>
      <c r="AW88" s="31"/>
      <c r="AX88" s="31"/>
      <c r="AY88" s="101"/>
      <c r="AZ88" s="101"/>
      <c r="BA88" s="101"/>
      <c r="BB88" s="101"/>
      <c r="BC88" s="137"/>
      <c r="BJ88" s="138"/>
    </row>
    <row r="89" spans="1:62" x14ac:dyDescent="0.15">
      <c r="A89" s="8"/>
      <c r="C89" s="8"/>
      <c r="F89" s="116"/>
      <c r="G89" s="116"/>
      <c r="H89" s="116"/>
      <c r="J89" s="9"/>
      <c r="K89" s="9"/>
      <c r="L89" s="9"/>
      <c r="M89" s="9"/>
      <c r="AN89" s="8"/>
      <c r="AO89" s="8"/>
      <c r="AP89" s="8"/>
      <c r="AQ89" s="8"/>
      <c r="AR89" s="8"/>
      <c r="AS89" s="8"/>
      <c r="AT89" s="8"/>
      <c r="AU89" s="8"/>
      <c r="AV89" s="8"/>
      <c r="AW89" s="31"/>
      <c r="AX89" s="31"/>
      <c r="AY89" s="101"/>
      <c r="AZ89" s="101"/>
      <c r="BA89" s="131" t="b">
        <v>1</v>
      </c>
      <c r="BB89" s="101"/>
      <c r="BD89" s="31">
        <v>1</v>
      </c>
      <c r="BE89" s="31" t="s">
        <v>100</v>
      </c>
    </row>
    <row r="90" spans="1:62" x14ac:dyDescent="0.15">
      <c r="A90" s="8"/>
      <c r="C90" s="8"/>
      <c r="G90" s="252" t="str">
        <f>IF(BA89=FALSE,"","キロ単価")</f>
        <v>キロ単価</v>
      </c>
      <c r="H90" s="252"/>
      <c r="I90" s="252"/>
      <c r="J90" s="253">
        <f ca="1">IF(BA89=FALSE,"",INDEX(INDIRECT(VLOOKUP(BC5,BD89:BF99,2,FALSE)),1,1))</f>
        <v>0</v>
      </c>
      <c r="K90" s="253"/>
      <c r="L90" s="253"/>
      <c r="M90" s="107" t="str">
        <f>IF(BA89=FALSE,"","～")</f>
        <v>～</v>
      </c>
      <c r="N90" s="240">
        <f ca="1">IF(BA89=FALSE,"",INDEX(INDIRECT(VLOOKUP(BC5,BD89:BF99,2,FALSE)),1,2))</f>
        <v>30</v>
      </c>
      <c r="O90" s="240"/>
      <c r="P90" s="240"/>
      <c r="Q90" s="8"/>
      <c r="U90" s="8"/>
      <c r="V90" s="8"/>
      <c r="W90" s="8"/>
      <c r="X90" s="8"/>
      <c r="Y90" s="8"/>
      <c r="Z90" s="8"/>
      <c r="AA90" s="8"/>
      <c r="AE90" s="38"/>
      <c r="AN90" s="8"/>
      <c r="AO90" s="8"/>
      <c r="AP90" s="8"/>
      <c r="AQ90" s="8"/>
      <c r="AR90" s="8"/>
      <c r="AS90" s="8"/>
      <c r="AT90" s="8"/>
      <c r="AU90" s="8"/>
      <c r="AV90" s="8"/>
      <c r="AW90" s="31"/>
      <c r="AX90" s="31"/>
      <c r="AY90" s="101"/>
      <c r="AZ90" s="101"/>
      <c r="BA90" s="101"/>
      <c r="BB90" s="101"/>
      <c r="BD90" s="31">
        <v>2</v>
      </c>
      <c r="BE90" s="31" t="s">
        <v>101</v>
      </c>
    </row>
    <row r="91" spans="1:62" ht="18.75" hidden="1" x14ac:dyDescent="0.15">
      <c r="A91" s="8"/>
      <c r="N91" s="6"/>
      <c r="O91" s="6"/>
      <c r="P91" s="6"/>
      <c r="R91" s="11"/>
      <c r="S91" s="11"/>
      <c r="AJ91" s="6"/>
      <c r="AK91" s="6"/>
      <c r="AL91" s="6"/>
      <c r="AM91" s="6"/>
      <c r="AN91" s="6"/>
      <c r="AO91" s="6"/>
      <c r="AP91" s="6"/>
      <c r="AQ91" s="6"/>
      <c r="AR91" s="6"/>
      <c r="AT91" s="38"/>
      <c r="AY91" s="101"/>
      <c r="AZ91" s="101"/>
      <c r="BA91" s="101"/>
      <c r="BB91" s="101"/>
      <c r="BD91" s="31">
        <v>3</v>
      </c>
      <c r="BE91" s="31" t="s">
        <v>102</v>
      </c>
    </row>
    <row r="92" spans="1:62" ht="18.75" hidden="1" x14ac:dyDescent="0.15">
      <c r="A92" s="8"/>
      <c r="J92" s="203" t="str">
        <f>IF(BA89=FALSE,"","時間単価")</f>
        <v>時間単価</v>
      </c>
      <c r="K92" s="203"/>
      <c r="L92" s="203"/>
      <c r="M92" s="1"/>
      <c r="N92" s="203" t="str">
        <f>IF(BA89=FALSE,"","総拘束時間")</f>
        <v>総拘束時間</v>
      </c>
      <c r="O92" s="203"/>
      <c r="P92" s="203"/>
      <c r="R92" s="203" t="str">
        <f>IF(BA89=FALSE,"","キロ単価")</f>
        <v>キロ単価</v>
      </c>
      <c r="S92" s="203"/>
      <c r="T92" s="203"/>
      <c r="U92" s="203"/>
      <c r="W92" s="203" t="str">
        <f>IF(BA89=FALSE,"","走行距離")</f>
        <v>走行距離</v>
      </c>
      <c r="X92" s="203"/>
      <c r="Y92" s="203"/>
      <c r="AJ92" s="6"/>
      <c r="AK92" s="6"/>
      <c r="AL92" s="6"/>
      <c r="AM92" s="6"/>
      <c r="AN92" s="6"/>
      <c r="AO92" s="6"/>
      <c r="AP92" s="6"/>
      <c r="AQ92" s="6"/>
      <c r="AR92" s="6"/>
      <c r="AT92" s="38"/>
      <c r="AY92" s="101"/>
      <c r="AZ92" s="101"/>
      <c r="BA92" s="101"/>
      <c r="BB92" s="101"/>
      <c r="BD92" s="31">
        <v>4</v>
      </c>
      <c r="BE92" s="31" t="s">
        <v>103</v>
      </c>
    </row>
    <row r="93" spans="1:62" ht="18.75" hidden="1" x14ac:dyDescent="0.15">
      <c r="A93" s="8"/>
      <c r="J93" s="205">
        <f ca="1">IF(BA89=FALSE,"",+$J$88)</f>
        <v>0</v>
      </c>
      <c r="K93" s="205"/>
      <c r="L93" s="205"/>
      <c r="M93" s="5" t="str">
        <f>IF(BA89=FALSE,"","×")</f>
        <v>×</v>
      </c>
      <c r="N93" s="247">
        <f>IF(BA89=FALSE,"",+AF31)</f>
        <v>0</v>
      </c>
      <c r="O93" s="247"/>
      <c r="P93" s="247"/>
      <c r="Q93" s="5" t="str">
        <f>IF(BA89=FALSE,"","＋")</f>
        <v>＋</v>
      </c>
      <c r="R93" s="205">
        <f ca="1">IF(BA89=FALSE,"",+$J$90)</f>
        <v>0</v>
      </c>
      <c r="S93" s="205"/>
      <c r="T93" s="205"/>
      <c r="U93" s="205"/>
      <c r="V93" s="5" t="str">
        <f>IF(BC100=FALSE,"","×")</f>
        <v/>
      </c>
      <c r="W93" s="229">
        <f>IF(BA89=FALSE,"",IF($T$37="",$N$37,$T$37))</f>
        <v>100</v>
      </c>
      <c r="X93" s="229"/>
      <c r="Y93" s="229"/>
      <c r="Z93" s="5" t="str">
        <f>IF(BA89=FALSE,"","＝")</f>
        <v>＝</v>
      </c>
      <c r="AA93" s="251" t="str">
        <f ca="1">IF(BA89=FALSE,"",IF(OR(J88="",$AF$31=0,J90="",$N$37=""),"",ROUND(+$J$93*$N$93,0)+ROUND($R$93*$W$93,0)))</f>
        <v/>
      </c>
      <c r="AB93" s="251"/>
      <c r="AC93" s="251"/>
      <c r="AD93" s="251"/>
      <c r="AE93" s="251"/>
      <c r="AF93" s="251"/>
      <c r="AG93" s="251"/>
      <c r="AH93" s="8" t="str">
        <f>IF(BA89=FALSE,"","上限額⑦")</f>
        <v>上限額⑦</v>
      </c>
      <c r="AJ93" s="16"/>
      <c r="AK93" s="6"/>
      <c r="AL93" s="6"/>
      <c r="AM93" s="6"/>
      <c r="AN93" s="6"/>
      <c r="AO93" s="6"/>
      <c r="AP93" s="6"/>
      <c r="AQ93" s="6"/>
      <c r="AR93" s="6"/>
      <c r="AT93" s="38"/>
      <c r="AY93" s="101"/>
      <c r="AZ93" s="101"/>
      <c r="BA93" s="101"/>
      <c r="BB93" s="101"/>
      <c r="BD93" s="31">
        <v>5</v>
      </c>
      <c r="BE93" s="31" t="s">
        <v>104</v>
      </c>
    </row>
    <row r="94" spans="1:62" ht="18.75" x14ac:dyDescent="0.15">
      <c r="A94" s="8"/>
      <c r="N94" s="6"/>
      <c r="O94" s="6"/>
      <c r="P94" s="6"/>
      <c r="R94" s="11"/>
      <c r="S94" s="11"/>
      <c r="AK94" s="6"/>
      <c r="AL94" s="6"/>
      <c r="AM94" s="6"/>
      <c r="AN94" s="6"/>
      <c r="AO94" s="6"/>
      <c r="AP94" s="6"/>
      <c r="AQ94" s="6"/>
      <c r="AR94" s="6"/>
      <c r="AT94" s="38"/>
      <c r="AY94" s="101"/>
      <c r="AZ94" s="101"/>
      <c r="BA94" s="101"/>
      <c r="BB94" s="101"/>
      <c r="BD94" s="31">
        <v>6</v>
      </c>
      <c r="BE94" s="31" t="s">
        <v>105</v>
      </c>
    </row>
    <row r="95" spans="1:62" x14ac:dyDescent="0.15">
      <c r="A95" s="8"/>
      <c r="J95" s="203" t="str">
        <f>IF(BA89=FALSE,"","時間単価")</f>
        <v>時間単価</v>
      </c>
      <c r="K95" s="203"/>
      <c r="L95" s="203"/>
      <c r="M95" s="1"/>
      <c r="N95" s="203" t="str">
        <f>IF(BA89=FALSE,"","総拘束時間")</f>
        <v>総拘束時間</v>
      </c>
      <c r="O95" s="203"/>
      <c r="P95" s="203"/>
      <c r="R95" s="203" t="str">
        <f>IF(BA89=FALSE,"","キロ単価")</f>
        <v>キロ単価</v>
      </c>
      <c r="S95" s="203"/>
      <c r="T95" s="203"/>
      <c r="U95" s="203"/>
      <c r="W95" s="203" t="str">
        <f>IF(BA89=FALSE,"","走行距離")</f>
        <v>走行距離</v>
      </c>
      <c r="X95" s="203"/>
      <c r="Y95" s="203"/>
      <c r="AJ95" s="16"/>
      <c r="AK95" s="1"/>
      <c r="AL95" s="1"/>
      <c r="AM95" s="1"/>
      <c r="AN95" s="1"/>
      <c r="AO95" s="1"/>
      <c r="AP95" s="1"/>
      <c r="AQ95" s="1"/>
      <c r="AR95" s="1"/>
      <c r="AY95" s="101"/>
      <c r="AZ95" s="101"/>
      <c r="BA95" s="101"/>
      <c r="BB95" s="101"/>
      <c r="BD95" s="31">
        <v>7</v>
      </c>
      <c r="BE95" s="31" t="s">
        <v>106</v>
      </c>
    </row>
    <row r="96" spans="1:62" ht="18.75" x14ac:dyDescent="0.15">
      <c r="A96" s="8"/>
      <c r="J96" s="205">
        <f ca="1">IF(BA89=FALSE,"",+$N$88)</f>
        <v>2300</v>
      </c>
      <c r="K96" s="205"/>
      <c r="L96" s="205"/>
      <c r="M96" s="5" t="str">
        <f>IF(BA89=FALSE,"","×")</f>
        <v>×</v>
      </c>
      <c r="N96" s="247">
        <f>IF(BA89=FALSE,"",+AF31)</f>
        <v>0</v>
      </c>
      <c r="O96" s="247"/>
      <c r="P96" s="247"/>
      <c r="Q96" s="5" t="str">
        <f>IF(BA89=FALSE,"","＋")</f>
        <v>＋</v>
      </c>
      <c r="R96" s="205">
        <f ca="1">IF(BA89=FALSE,"",+$N$90)</f>
        <v>30</v>
      </c>
      <c r="S96" s="205"/>
      <c r="T96" s="205"/>
      <c r="U96" s="205"/>
      <c r="V96" s="5" t="str">
        <f>IF(BA89=FALSE,"","×")</f>
        <v>×</v>
      </c>
      <c r="W96" s="229">
        <f>IF(BA89=FALSE,"",IF($T$37="",$N$37,$T$37))</f>
        <v>100</v>
      </c>
      <c r="X96" s="229"/>
      <c r="Y96" s="229"/>
      <c r="Z96" s="5" t="str">
        <f>IF(BA89=FALSE,"","＝")</f>
        <v>＝</v>
      </c>
      <c r="AA96" s="251" t="str">
        <f ca="1">IF(BA89=FALSE,"",IF(OR(N88="",$AF$31=0,N90="",$N$37=""),"",ROUND(+$J$96*$N$96,0)+ROUND($R$96*$W$96,0)))</f>
        <v/>
      </c>
      <c r="AB96" s="251"/>
      <c r="AC96" s="251"/>
      <c r="AD96" s="251"/>
      <c r="AE96" s="251"/>
      <c r="AF96" s="251"/>
      <c r="AG96" s="251"/>
      <c r="AH96" s="59" t="str">
        <f>IF(BA89=FALSE,"","交替運転者配置料金")</f>
        <v>交替運転者配置料金</v>
      </c>
      <c r="AJ96" s="16"/>
      <c r="AK96" s="59"/>
      <c r="AL96" s="59"/>
      <c r="AM96" s="1"/>
      <c r="AN96" s="1"/>
      <c r="AO96" s="1"/>
      <c r="AP96" s="1"/>
      <c r="AQ96" s="1"/>
      <c r="AR96" s="1"/>
      <c r="AY96" s="101"/>
      <c r="AZ96" s="101"/>
      <c r="BA96" s="101"/>
      <c r="BB96" s="101"/>
      <c r="BD96" s="31">
        <v>7</v>
      </c>
      <c r="BE96" s="31" t="s">
        <v>106</v>
      </c>
    </row>
    <row r="97" spans="1:57" ht="18.75" hidden="1" x14ac:dyDescent="0.15">
      <c r="A97" s="8"/>
      <c r="J97" s="109"/>
      <c r="K97" s="109"/>
      <c r="L97" s="109"/>
      <c r="N97" s="176"/>
      <c r="O97" s="176"/>
      <c r="P97" s="176"/>
      <c r="R97" s="109"/>
      <c r="S97" s="109"/>
      <c r="T97" s="109"/>
      <c r="U97" s="109"/>
      <c r="W97" s="175"/>
      <c r="X97" s="175"/>
      <c r="Y97" s="175"/>
      <c r="AA97" s="182"/>
      <c r="AB97" s="182"/>
      <c r="AC97" s="182"/>
      <c r="AD97" s="182"/>
      <c r="AE97" s="182"/>
      <c r="AF97" s="182"/>
      <c r="AG97" s="182"/>
      <c r="AH97" s="59"/>
      <c r="AJ97" s="16"/>
      <c r="AK97" s="59"/>
      <c r="AL97" s="59"/>
      <c r="AM97" s="1"/>
      <c r="AN97" s="1"/>
      <c r="AO97" s="1"/>
      <c r="AP97" s="1"/>
      <c r="AQ97" s="1"/>
      <c r="AR97" s="1"/>
      <c r="AY97" s="101"/>
      <c r="AZ97" s="101"/>
      <c r="BA97" s="101"/>
      <c r="BB97" s="101"/>
      <c r="BD97" s="31">
        <v>8</v>
      </c>
      <c r="BE97" s="31" t="s">
        <v>107</v>
      </c>
    </row>
    <row r="98" spans="1:57" ht="18.75" hidden="1" x14ac:dyDescent="0.15">
      <c r="A98" s="8"/>
      <c r="N98" s="6"/>
      <c r="O98" s="6"/>
      <c r="P98" s="6"/>
      <c r="R98" s="11"/>
      <c r="S98" s="11"/>
      <c r="AJ98" s="6"/>
      <c r="AK98" s="6"/>
      <c r="AL98" s="6"/>
      <c r="AM98" s="6"/>
      <c r="AN98" s="6"/>
      <c r="AO98" s="6"/>
      <c r="AP98" s="6"/>
      <c r="AQ98" s="6"/>
      <c r="AR98" s="6"/>
      <c r="AY98" s="101"/>
      <c r="AZ98" s="101"/>
      <c r="BA98" s="101"/>
      <c r="BB98" s="101"/>
      <c r="BD98" s="31">
        <v>9</v>
      </c>
      <c r="BE98" s="31" t="s">
        <v>109</v>
      </c>
    </row>
    <row r="99" spans="1:57" hidden="1" x14ac:dyDescent="0.15">
      <c r="B99" s="246" t="s">
        <v>7</v>
      </c>
      <c r="C99" s="246"/>
      <c r="D99" s="246"/>
      <c r="E99" s="246"/>
      <c r="F99" s="38"/>
      <c r="G99" s="38"/>
      <c r="H99" s="204" t="s">
        <v>43</v>
      </c>
      <c r="I99" s="204"/>
      <c r="J99" s="204"/>
      <c r="K99" s="204"/>
      <c r="L99" s="230" t="str">
        <f ca="1">IF(ISERROR(+R$103+X$103+AD$103+AK$103),"",+R$103+X$103+AD$103+AK$103)</f>
        <v/>
      </c>
      <c r="M99" s="230"/>
      <c r="N99" s="230"/>
      <c r="O99" s="230"/>
      <c r="P99" s="230"/>
      <c r="Q99" s="109"/>
      <c r="R99" s="203" t="s">
        <v>1</v>
      </c>
      <c r="S99" s="203"/>
      <c r="T99" s="203"/>
      <c r="U99" s="203"/>
      <c r="V99" s="203"/>
      <c r="W99" s="5" t="s">
        <v>15</v>
      </c>
      <c r="X99" s="203" t="s">
        <v>24</v>
      </c>
      <c r="Y99" s="203"/>
      <c r="Z99" s="203"/>
      <c r="AA99" s="203"/>
      <c r="AB99" s="203"/>
      <c r="AC99" s="5" t="s">
        <v>15</v>
      </c>
      <c r="AD99" s="203" t="s">
        <v>25</v>
      </c>
      <c r="AE99" s="203"/>
      <c r="AF99" s="203"/>
      <c r="AG99" s="203"/>
      <c r="AH99" s="203"/>
      <c r="AI99" s="203"/>
      <c r="AJ99" s="5" t="s">
        <v>15</v>
      </c>
      <c r="AK99" s="203" t="s">
        <v>26</v>
      </c>
      <c r="AL99" s="203"/>
      <c r="AM99" s="203"/>
      <c r="AN99" s="203"/>
      <c r="AO99" s="203"/>
      <c r="AP99" s="203"/>
      <c r="AQ99" s="203"/>
      <c r="AR99" s="109"/>
      <c r="AS99" s="109"/>
      <c r="AV99" s="8"/>
      <c r="AW99" s="125"/>
      <c r="AX99" s="125"/>
      <c r="AY99" s="101"/>
      <c r="AZ99" s="101"/>
      <c r="BA99" s="101"/>
      <c r="BB99" s="101"/>
      <c r="BD99" s="31">
        <v>10</v>
      </c>
      <c r="BE99" s="31" t="s">
        <v>108</v>
      </c>
    </row>
    <row r="100" spans="1:57" hidden="1" x14ac:dyDescent="0.15">
      <c r="B100" s="246"/>
      <c r="C100" s="246"/>
      <c r="D100" s="246"/>
      <c r="E100" s="246"/>
      <c r="F100" s="106"/>
      <c r="G100" s="106"/>
      <c r="H100" s="106"/>
      <c r="I100" s="106"/>
      <c r="J100" s="106"/>
      <c r="K100" s="106"/>
      <c r="AV100" s="8"/>
      <c r="AW100" s="125"/>
      <c r="AX100" s="125"/>
      <c r="AY100" s="101"/>
      <c r="AZ100" s="101"/>
      <c r="BA100" s="101"/>
      <c r="BB100" s="101"/>
    </row>
    <row r="101" spans="1:57" ht="13.5" hidden="1" customHeight="1" x14ac:dyDescent="0.15">
      <c r="F101" s="204" t="s">
        <v>42</v>
      </c>
      <c r="G101" s="204"/>
      <c r="H101" s="204"/>
      <c r="I101" s="204"/>
      <c r="J101" s="204"/>
      <c r="K101" s="204"/>
      <c r="L101" s="221" t="str">
        <f ca="1">IF(ISERROR(ROUND(+L99*0.1,0)),"",ROUND(+L99*0.1,0))</f>
        <v/>
      </c>
      <c r="M101" s="221"/>
      <c r="N101" s="221"/>
      <c r="O101" s="221"/>
      <c r="P101" s="221"/>
      <c r="Q101" s="39"/>
      <c r="R101" s="203" t="s">
        <v>96</v>
      </c>
      <c r="S101" s="203"/>
      <c r="T101" s="203"/>
      <c r="U101" s="203"/>
      <c r="V101" s="203"/>
      <c r="X101" s="203" t="s">
        <v>111</v>
      </c>
      <c r="Y101" s="203"/>
      <c r="Z101" s="203"/>
      <c r="AA101" s="203"/>
      <c r="AB101" s="203"/>
      <c r="AC101" s="38"/>
      <c r="AD101" s="203" t="s">
        <v>97</v>
      </c>
      <c r="AE101" s="203"/>
      <c r="AF101" s="203"/>
      <c r="AG101" s="203"/>
      <c r="AH101" s="203"/>
      <c r="AI101" s="203"/>
      <c r="AJ101" s="38"/>
      <c r="AK101" s="203" t="s">
        <v>98</v>
      </c>
      <c r="AL101" s="203"/>
      <c r="AM101" s="203"/>
      <c r="AN101" s="203"/>
      <c r="AO101" s="203"/>
      <c r="AP101" s="203"/>
      <c r="AQ101" s="203"/>
      <c r="AR101" s="60"/>
      <c r="AS101" s="17"/>
      <c r="AV101" s="8"/>
      <c r="AW101" s="127"/>
      <c r="AX101" s="125"/>
      <c r="AY101" s="101"/>
      <c r="AZ101" s="101"/>
      <c r="BA101" s="101"/>
      <c r="BB101" s="101"/>
    </row>
    <row r="102" spans="1:57" ht="5.25" hidden="1" customHeight="1" thickBot="1" x14ac:dyDescent="0.2">
      <c r="F102" s="204"/>
      <c r="G102" s="204"/>
      <c r="H102" s="204"/>
      <c r="I102" s="204"/>
      <c r="J102" s="204"/>
      <c r="K102" s="204"/>
      <c r="L102" s="61"/>
      <c r="M102" s="61"/>
      <c r="N102" s="61"/>
      <c r="O102" s="61"/>
      <c r="P102" s="61"/>
      <c r="AQ102" s="1"/>
      <c r="AV102" s="8"/>
      <c r="AW102" s="125"/>
      <c r="AX102" s="125"/>
      <c r="AY102" s="101"/>
      <c r="AZ102" s="101"/>
      <c r="BA102" s="101"/>
      <c r="BB102" s="101"/>
    </row>
    <row r="103" spans="1:57" ht="14.25" hidden="1" thickTop="1" x14ac:dyDescent="0.15">
      <c r="F103" s="217" t="s">
        <v>44</v>
      </c>
      <c r="G103" s="217"/>
      <c r="H103" s="217"/>
      <c r="I103" s="217"/>
      <c r="J103" s="217"/>
      <c r="K103" s="217"/>
      <c r="L103" s="219" t="str">
        <f ca="1">IF(ISERROR(+L99+L101),"",+L99+L101)</f>
        <v/>
      </c>
      <c r="M103" s="219"/>
      <c r="N103" s="219"/>
      <c r="O103" s="219"/>
      <c r="P103" s="219"/>
      <c r="R103" s="222" t="e">
        <f>IF(AF44&gt;AB51,AB51,AF44)</f>
        <v>#VALUE!</v>
      </c>
      <c r="S103" s="222"/>
      <c r="T103" s="222"/>
      <c r="U103" s="222"/>
      <c r="V103" s="222"/>
      <c r="W103" s="117" t="s">
        <v>15</v>
      </c>
      <c r="X103" s="224">
        <f>IF(AQ31=0,0,IF(BA89=TRUE,AO60,AI59))</f>
        <v>0</v>
      </c>
      <c r="Y103" s="224"/>
      <c r="Z103" s="224"/>
      <c r="AA103" s="224"/>
      <c r="AB103" s="224"/>
      <c r="AC103" s="117" t="s">
        <v>15</v>
      </c>
      <c r="AD103" s="224" t="str">
        <f>IF(BA76=FALSE,0,+P78)</f>
        <v/>
      </c>
      <c r="AE103" s="224"/>
      <c r="AF103" s="224"/>
      <c r="AG103" s="224"/>
      <c r="AH103" s="224"/>
      <c r="AI103" s="224"/>
      <c r="AJ103" s="117" t="s">
        <v>15</v>
      </c>
      <c r="AK103" s="224" t="str">
        <f ca="1">IF(BA89=FALSE,0,AA93)</f>
        <v/>
      </c>
      <c r="AL103" s="224"/>
      <c r="AM103" s="224"/>
      <c r="AN103" s="224"/>
      <c r="AO103" s="224"/>
      <c r="AP103" s="224"/>
      <c r="AQ103" s="7"/>
      <c r="AV103" s="8"/>
      <c r="AW103" s="125"/>
      <c r="AX103" s="125"/>
      <c r="AY103" s="101"/>
      <c r="AZ103" s="101"/>
      <c r="BA103" s="101"/>
      <c r="BB103" s="101"/>
    </row>
    <row r="104" spans="1:57" ht="21" hidden="1" x14ac:dyDescent="0.15">
      <c r="F104" s="218"/>
      <c r="G104" s="218"/>
      <c r="H104" s="218"/>
      <c r="I104" s="218"/>
      <c r="J104" s="218"/>
      <c r="K104" s="218"/>
      <c r="L104" s="220"/>
      <c r="M104" s="220"/>
      <c r="N104" s="220"/>
      <c r="O104" s="220"/>
      <c r="P104" s="220"/>
      <c r="Q104" s="62"/>
      <c r="R104" s="4"/>
      <c r="S104" s="63"/>
      <c r="T104" s="63"/>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64"/>
      <c r="AS104" s="65"/>
      <c r="AT104" s="65"/>
      <c r="AV104" s="8"/>
      <c r="AW104" s="125"/>
      <c r="AX104" s="125"/>
      <c r="AY104" s="101"/>
      <c r="AZ104" s="101"/>
      <c r="BA104" s="101"/>
      <c r="BB104" s="101"/>
    </row>
    <row r="105" spans="1:57" x14ac:dyDescent="0.15">
      <c r="AV105" s="8"/>
      <c r="AW105" s="125"/>
      <c r="AX105" s="125"/>
      <c r="AY105" s="101"/>
      <c r="AZ105" s="101"/>
      <c r="BA105" s="101"/>
      <c r="BB105" s="101"/>
    </row>
    <row r="106" spans="1:57" x14ac:dyDescent="0.15">
      <c r="F106" s="38"/>
      <c r="G106" s="38"/>
      <c r="H106" s="38"/>
      <c r="I106" s="38"/>
      <c r="J106" s="38"/>
      <c r="K106" s="38"/>
      <c r="L106" s="38"/>
      <c r="M106" s="38"/>
      <c r="N106" s="38"/>
      <c r="O106" s="38"/>
      <c r="P106" s="38"/>
      <c r="Q106" s="38"/>
      <c r="R106" s="203"/>
      <c r="S106" s="203"/>
      <c r="T106" s="203"/>
      <c r="U106" s="203"/>
      <c r="V106" s="203"/>
      <c r="X106" s="203"/>
      <c r="Y106" s="203"/>
      <c r="Z106" s="203"/>
      <c r="AA106" s="203"/>
      <c r="AB106" s="203"/>
      <c r="AD106" s="203"/>
      <c r="AE106" s="203"/>
      <c r="AF106" s="203"/>
      <c r="AG106" s="203"/>
      <c r="AH106" s="203"/>
      <c r="AI106" s="203"/>
      <c r="AK106" s="203"/>
      <c r="AL106" s="203"/>
      <c r="AM106" s="203"/>
      <c r="AN106" s="203"/>
      <c r="AO106" s="203"/>
      <c r="AP106" s="203"/>
      <c r="AQ106" s="203"/>
      <c r="AV106" s="20"/>
      <c r="AW106" s="125"/>
      <c r="AX106" s="125"/>
      <c r="AY106" s="101"/>
      <c r="AZ106" s="101"/>
      <c r="BA106" s="101"/>
      <c r="BB106" s="101"/>
    </row>
    <row r="107" spans="1:57" x14ac:dyDescent="0.15">
      <c r="B107" s="246" t="s">
        <v>110</v>
      </c>
      <c r="C107" s="246"/>
      <c r="D107" s="246"/>
      <c r="E107" s="246"/>
      <c r="F107" s="38"/>
      <c r="G107" s="38"/>
      <c r="H107" s="204" t="s">
        <v>43</v>
      </c>
      <c r="I107" s="204"/>
      <c r="J107" s="204"/>
      <c r="K107" s="204"/>
      <c r="L107" s="230" t="str">
        <f ca="1">IF(ISERROR(+R$111+X$111+AD$111+AK$111),"",+R$111+X$111+AD$111+AK$111)</f>
        <v/>
      </c>
      <c r="M107" s="230"/>
      <c r="N107" s="230"/>
      <c r="O107" s="230"/>
      <c r="P107" s="230"/>
      <c r="Q107" s="38"/>
      <c r="R107" s="203" t="s">
        <v>1</v>
      </c>
      <c r="S107" s="203"/>
      <c r="T107" s="203"/>
      <c r="U107" s="203"/>
      <c r="V107" s="203"/>
      <c r="W107" s="5" t="s">
        <v>15</v>
      </c>
      <c r="X107" s="203" t="s">
        <v>24</v>
      </c>
      <c r="Y107" s="203"/>
      <c r="Z107" s="203"/>
      <c r="AA107" s="203"/>
      <c r="AB107" s="203"/>
      <c r="AC107" s="5" t="s">
        <v>15</v>
      </c>
      <c r="AD107" s="203" t="s">
        <v>25</v>
      </c>
      <c r="AE107" s="203"/>
      <c r="AF107" s="203"/>
      <c r="AG107" s="203"/>
      <c r="AH107" s="203"/>
      <c r="AI107" s="203"/>
      <c r="AJ107" s="5" t="s">
        <v>15</v>
      </c>
      <c r="AK107" s="203" t="s">
        <v>26</v>
      </c>
      <c r="AL107" s="203"/>
      <c r="AM107" s="203"/>
      <c r="AN107" s="203"/>
      <c r="AO107" s="203"/>
      <c r="AP107" s="203"/>
      <c r="AQ107" s="203"/>
      <c r="AR107" s="109"/>
      <c r="AS107" s="109"/>
      <c r="AT107" s="109"/>
      <c r="AU107" s="109"/>
      <c r="AV107" s="118"/>
      <c r="AW107" s="125"/>
      <c r="AX107" s="128"/>
      <c r="AY107" s="101"/>
      <c r="AZ107" s="101"/>
      <c r="BA107" s="101"/>
      <c r="BB107" s="101"/>
    </row>
    <row r="108" spans="1:57" x14ac:dyDescent="0.15">
      <c r="B108" s="246"/>
      <c r="C108" s="246"/>
      <c r="D108" s="246"/>
      <c r="E108" s="246"/>
      <c r="F108" s="106"/>
      <c r="G108" s="106"/>
      <c r="H108" s="106"/>
      <c r="I108" s="106"/>
      <c r="J108" s="106"/>
      <c r="K108" s="106"/>
      <c r="Q108" s="106"/>
      <c r="R108" s="203"/>
      <c r="S108" s="203"/>
      <c r="T108" s="203"/>
      <c r="U108" s="203"/>
      <c r="V108" s="203"/>
      <c r="X108" s="203"/>
      <c r="Y108" s="203"/>
      <c r="Z108" s="203"/>
      <c r="AA108" s="203"/>
      <c r="AB108" s="203"/>
      <c r="AD108" s="203"/>
      <c r="AE108" s="203"/>
      <c r="AF108" s="203"/>
      <c r="AG108" s="203"/>
      <c r="AH108" s="203"/>
      <c r="AI108" s="203"/>
      <c r="AK108" s="203"/>
      <c r="AL108" s="203"/>
      <c r="AM108" s="203"/>
      <c r="AN108" s="203"/>
      <c r="AO108" s="203"/>
      <c r="AP108" s="203"/>
      <c r="AQ108" s="203"/>
      <c r="AV108" s="8"/>
      <c r="AW108" s="125"/>
      <c r="AX108" s="125"/>
      <c r="AY108" s="101"/>
      <c r="AZ108" s="101"/>
      <c r="BA108" s="101"/>
      <c r="BB108" s="101"/>
    </row>
    <row r="109" spans="1:57" x14ac:dyDescent="0.15">
      <c r="F109" s="204" t="s">
        <v>42</v>
      </c>
      <c r="G109" s="204"/>
      <c r="H109" s="204"/>
      <c r="I109" s="204"/>
      <c r="J109" s="204"/>
      <c r="K109" s="204"/>
      <c r="L109" s="221" t="str">
        <f ca="1">IF(ISERROR(ROUND(+L107*0.1,0)),"",ROUND(+L107*0.1,0))</f>
        <v/>
      </c>
      <c r="M109" s="221"/>
      <c r="N109" s="221"/>
      <c r="O109" s="221"/>
      <c r="P109" s="221"/>
      <c r="Q109" s="106"/>
      <c r="R109" s="203"/>
      <c r="S109" s="203"/>
      <c r="T109" s="203"/>
      <c r="U109" s="203"/>
      <c r="V109" s="203"/>
      <c r="X109" s="203"/>
      <c r="Y109" s="203"/>
      <c r="Z109" s="203"/>
      <c r="AA109" s="203"/>
      <c r="AB109" s="203"/>
      <c r="AC109" s="38"/>
      <c r="AD109" s="203"/>
      <c r="AE109" s="203"/>
      <c r="AF109" s="203"/>
      <c r="AG109" s="203"/>
      <c r="AH109" s="203"/>
      <c r="AI109" s="203"/>
      <c r="AK109" s="203"/>
      <c r="AL109" s="203"/>
      <c r="AM109" s="203"/>
      <c r="AN109" s="203"/>
      <c r="AO109" s="203"/>
      <c r="AP109" s="203"/>
      <c r="AQ109" s="203"/>
      <c r="AR109" s="39"/>
      <c r="AS109" s="17"/>
      <c r="AT109" s="17"/>
      <c r="AU109" s="17"/>
      <c r="AV109" s="22"/>
      <c r="AW109" s="127"/>
      <c r="AX109" s="127"/>
      <c r="AY109" s="101"/>
      <c r="AZ109" s="101"/>
      <c r="BA109" s="101"/>
      <c r="BB109" s="101"/>
    </row>
    <row r="110" spans="1:57" ht="14.25" thickBot="1" x14ac:dyDescent="0.2">
      <c r="F110" s="106"/>
      <c r="G110" s="106"/>
      <c r="H110" s="106"/>
      <c r="I110" s="106"/>
      <c r="J110" s="106"/>
      <c r="K110" s="106"/>
      <c r="L110" s="61"/>
      <c r="M110" s="61"/>
      <c r="N110" s="61"/>
      <c r="O110" s="61"/>
      <c r="P110" s="61"/>
      <c r="Q110" s="106"/>
      <c r="AQ110" s="1"/>
      <c r="AV110" s="8"/>
      <c r="AW110" s="125"/>
      <c r="AX110" s="125"/>
      <c r="AY110" s="101"/>
      <c r="AZ110" s="101"/>
      <c r="BA110" s="101"/>
      <c r="BB110" s="101"/>
    </row>
    <row r="111" spans="1:57" ht="14.25" thickTop="1" x14ac:dyDescent="0.15">
      <c r="F111" s="217" t="s">
        <v>44</v>
      </c>
      <c r="G111" s="217"/>
      <c r="H111" s="217"/>
      <c r="I111" s="217"/>
      <c r="J111" s="217"/>
      <c r="K111" s="217"/>
      <c r="L111" s="219" t="str">
        <f ca="1">IF(ISERROR(+L107+L109),"",+L107+L109)</f>
        <v/>
      </c>
      <c r="M111" s="219"/>
      <c r="N111" s="219"/>
      <c r="O111" s="219"/>
      <c r="P111" s="219"/>
      <c r="Q111" s="104"/>
      <c r="R111" s="222" t="str">
        <f>AF46</f>
        <v/>
      </c>
      <c r="S111" s="222"/>
      <c r="T111" s="222"/>
      <c r="U111" s="222"/>
      <c r="V111" s="222"/>
      <c r="W111" s="117" t="s">
        <v>15</v>
      </c>
      <c r="X111" s="224">
        <f>IF(AQ31=0,0,IF(BA89=TRUE,AO70,AI69))</f>
        <v>0</v>
      </c>
      <c r="Y111" s="224"/>
      <c r="Z111" s="224"/>
      <c r="AA111" s="224"/>
      <c r="AB111" s="224"/>
      <c r="AC111" s="117" t="s">
        <v>15</v>
      </c>
      <c r="AD111" s="224" t="str">
        <f>IF(BA76=FALSE,0,+P82)</f>
        <v/>
      </c>
      <c r="AE111" s="224"/>
      <c r="AF111" s="224"/>
      <c r="AG111" s="224"/>
      <c r="AH111" s="224"/>
      <c r="AI111" s="224"/>
      <c r="AJ111" s="117" t="s">
        <v>15</v>
      </c>
      <c r="AK111" s="224" t="str">
        <f ca="1">IF(BA89=FALSE,0,AA96)</f>
        <v/>
      </c>
      <c r="AL111" s="224"/>
      <c r="AM111" s="224"/>
      <c r="AN111" s="224"/>
      <c r="AO111" s="224"/>
      <c r="AP111" s="224"/>
      <c r="AQ111" s="7"/>
      <c r="AV111" s="8"/>
      <c r="AW111" s="125"/>
      <c r="AX111" s="125"/>
      <c r="AY111" s="101"/>
      <c r="AZ111" s="101"/>
      <c r="BA111" s="101"/>
      <c r="BB111" s="101"/>
    </row>
    <row r="112" spans="1:57" x14ac:dyDescent="0.15">
      <c r="F112" s="218"/>
      <c r="G112" s="218"/>
      <c r="H112" s="218"/>
      <c r="I112" s="218"/>
      <c r="J112" s="218"/>
      <c r="K112" s="218"/>
      <c r="L112" s="220"/>
      <c r="M112" s="220"/>
      <c r="N112" s="220"/>
      <c r="O112" s="220"/>
      <c r="P112" s="220"/>
      <c r="Q112" s="105"/>
      <c r="R112" s="4"/>
      <c r="S112" s="4"/>
      <c r="T112" s="4"/>
      <c r="U112" s="4"/>
      <c r="V112" s="4"/>
      <c r="W112" s="4"/>
      <c r="X112" s="4"/>
      <c r="Y112" s="4"/>
      <c r="Z112" s="4"/>
      <c r="AA112" s="4"/>
      <c r="AB112" s="4"/>
      <c r="AC112" s="4"/>
      <c r="AD112" s="4"/>
      <c r="AE112" s="4"/>
      <c r="AF112" s="4"/>
      <c r="AG112" s="4"/>
      <c r="AH112" s="4"/>
      <c r="AI112" s="4"/>
      <c r="AJ112" s="4"/>
      <c r="AK112" s="4"/>
      <c r="AL112" s="4"/>
      <c r="AM112" s="4"/>
      <c r="AN112" s="4"/>
      <c r="AO112" s="64"/>
      <c r="AP112" s="64"/>
      <c r="AQ112" s="64"/>
      <c r="AR112" s="8"/>
      <c r="AV112" s="8"/>
      <c r="AW112" s="125"/>
      <c r="AX112" s="125"/>
      <c r="AY112" s="101"/>
      <c r="AZ112" s="101"/>
      <c r="BA112" s="101"/>
      <c r="BB112" s="101"/>
    </row>
    <row r="113" spans="2:55" x14ac:dyDescent="0.15">
      <c r="AV113" s="8"/>
      <c r="AW113" s="125"/>
      <c r="AX113" s="125"/>
      <c r="AY113" s="101"/>
      <c r="AZ113" s="101"/>
      <c r="BA113" s="101"/>
      <c r="BB113" s="101"/>
    </row>
    <row r="114" spans="2:55" ht="24" x14ac:dyDescent="0.15">
      <c r="B114" s="66" t="str">
        <f ca="1">IF(L103="","","この運送の基準額は、")</f>
        <v/>
      </c>
      <c r="C114" s="67"/>
      <c r="D114" s="67"/>
      <c r="E114" s="51"/>
      <c r="F114" s="51"/>
      <c r="G114" s="67"/>
      <c r="H114" s="67"/>
      <c r="I114" s="67"/>
      <c r="J114" s="51"/>
      <c r="K114" s="216" t="str">
        <f ca="1">IF(L103="","",L111)</f>
        <v/>
      </c>
      <c r="L114" s="216"/>
      <c r="M114" s="216"/>
      <c r="N114" s="216"/>
      <c r="O114" s="216"/>
      <c r="P114" s="216"/>
      <c r="Q114" s="129" t="str">
        <f ca="1">IF(L103="","","です。")</f>
        <v/>
      </c>
      <c r="R114" s="67"/>
      <c r="S114" s="67"/>
      <c r="T114" s="67"/>
      <c r="U114" s="67"/>
      <c r="V114" s="67"/>
      <c r="W114" s="216"/>
      <c r="X114" s="216"/>
      <c r="Y114" s="216"/>
      <c r="Z114" s="216"/>
      <c r="AA114" s="216"/>
      <c r="AB114" s="216"/>
      <c r="AC114" s="66"/>
      <c r="AD114" s="67"/>
      <c r="AE114" s="67"/>
      <c r="AF114" s="67"/>
      <c r="AG114" s="67"/>
      <c r="AH114" s="68"/>
      <c r="AI114" s="68"/>
      <c r="AJ114" s="68"/>
      <c r="AK114" s="68"/>
      <c r="AL114" s="68"/>
      <c r="AM114" s="68"/>
      <c r="AN114" s="68"/>
      <c r="AO114" s="68"/>
      <c r="AP114" s="68"/>
      <c r="AQ114" s="68"/>
      <c r="AR114" s="68"/>
      <c r="AS114" s="68"/>
      <c r="AT114" s="68"/>
      <c r="AU114" s="68"/>
      <c r="AV114" s="8"/>
      <c r="AW114" s="125"/>
      <c r="AX114" s="125"/>
      <c r="AY114" s="101"/>
      <c r="AZ114" s="101"/>
      <c r="BA114" s="101"/>
      <c r="BB114" s="101"/>
    </row>
    <row r="115" spans="2:55" ht="21" x14ac:dyDescent="0.15">
      <c r="B115" s="215" t="str">
        <f ca="1">IF(L103="","","実際の運賃・料金がこの下限額を下回っている場合は、運賃料金の届出に違反しているおそれがあります。")</f>
        <v/>
      </c>
      <c r="C115" s="215"/>
      <c r="D115" s="215"/>
      <c r="E115" s="215"/>
      <c r="F115" s="215"/>
      <c r="G115" s="215"/>
      <c r="H115" s="215"/>
      <c r="I115" s="215"/>
      <c r="J115" s="215"/>
      <c r="K115" s="215"/>
      <c r="L115" s="215"/>
      <c r="M115" s="215"/>
      <c r="N115" s="215"/>
      <c r="O115" s="215"/>
      <c r="P115" s="215"/>
      <c r="Q115" s="215"/>
      <c r="R115" s="215"/>
      <c r="S115" s="215"/>
      <c r="T115" s="215"/>
      <c r="U115" s="215"/>
      <c r="V115" s="215"/>
      <c r="W115" s="215"/>
      <c r="X115" s="215"/>
      <c r="Y115" s="215"/>
      <c r="Z115" s="215"/>
      <c r="AA115" s="215"/>
      <c r="AB115" s="215"/>
      <c r="AC115" s="215"/>
      <c r="AD115" s="215"/>
      <c r="AE115" s="215"/>
      <c r="AF115" s="215"/>
      <c r="AG115" s="215"/>
      <c r="AH115" s="215"/>
      <c r="AI115" s="215"/>
      <c r="AJ115" s="215"/>
      <c r="AK115" s="215"/>
      <c r="AL115" s="215"/>
      <c r="AM115" s="215"/>
      <c r="AN115" s="215"/>
      <c r="AO115" s="215"/>
      <c r="AP115" s="215"/>
      <c r="AQ115" s="215"/>
      <c r="AR115" s="215"/>
      <c r="AS115" s="215"/>
      <c r="AT115" s="215"/>
      <c r="AU115" s="215"/>
      <c r="AV115" s="8"/>
      <c r="AW115" s="125"/>
      <c r="AX115" s="125"/>
      <c r="AY115" s="125"/>
      <c r="AZ115" s="125"/>
      <c r="BA115" s="125"/>
      <c r="BB115" s="125"/>
    </row>
    <row r="116" spans="2:55" ht="21.75" hidden="1" customHeight="1" x14ac:dyDescent="0.15">
      <c r="AY116" s="125"/>
      <c r="AZ116" s="125"/>
      <c r="BA116" s="126"/>
      <c r="BB116" s="125"/>
    </row>
    <row r="117" spans="2:55" hidden="1" x14ac:dyDescent="0.15">
      <c r="AY117" s="128"/>
      <c r="AZ117" s="128"/>
      <c r="BA117" s="128"/>
      <c r="BB117" s="125"/>
    </row>
    <row r="118" spans="2:55" hidden="1" x14ac:dyDescent="0.15">
      <c r="AY118" s="125"/>
      <c r="AZ118" s="125"/>
      <c r="BA118" s="125"/>
      <c r="BB118" s="125"/>
    </row>
    <row r="119" spans="2:55" hidden="1" x14ac:dyDescent="0.15">
      <c r="AY119" s="127"/>
      <c r="AZ119" s="127"/>
      <c r="BA119" s="127"/>
      <c r="BB119" s="127"/>
      <c r="BC119" s="139"/>
    </row>
    <row r="120" spans="2:55" hidden="1" x14ac:dyDescent="0.15">
      <c r="AY120" s="125"/>
      <c r="AZ120" s="125"/>
      <c r="BA120" s="125"/>
      <c r="BB120" s="125"/>
    </row>
    <row r="121" spans="2:55" hidden="1" x14ac:dyDescent="0.15">
      <c r="AY121" s="125"/>
      <c r="AZ121" s="125"/>
      <c r="BA121" s="125"/>
      <c r="BB121" s="125"/>
    </row>
    <row r="122" spans="2:55" hidden="1" x14ac:dyDescent="0.15">
      <c r="AY122" s="125"/>
      <c r="AZ122" s="125"/>
      <c r="BA122" s="125"/>
      <c r="BB122" s="125"/>
    </row>
    <row r="123" spans="2:55" hidden="1" x14ac:dyDescent="0.15">
      <c r="AY123" s="125"/>
      <c r="AZ123" s="125"/>
      <c r="BA123" s="125"/>
      <c r="BB123" s="125"/>
    </row>
    <row r="124" spans="2:55" ht="5.25" hidden="1" customHeight="1" x14ac:dyDescent="0.15">
      <c r="AY124" s="125"/>
      <c r="AZ124" s="125"/>
      <c r="BA124" s="125"/>
      <c r="BB124" s="125"/>
    </row>
    <row r="125" spans="2:55" ht="6.75" hidden="1" customHeight="1" x14ac:dyDescent="0.15">
      <c r="AY125" s="125"/>
      <c r="AZ125" s="125"/>
      <c r="BA125" s="125"/>
      <c r="BB125" s="125"/>
    </row>
  </sheetData>
  <sheetProtection password="CA41" sheet="1" selectLockedCells="1"/>
  <protectedRanges>
    <protectedRange password="CA41" sqref="N37 L11 O11 T11 W11 L13 O13 T13 W13 L15 O15 T15 W15 L29 O29 T29 W29 L25 O25 T25 W25 L23 O23 T23 W23 L21 O21 T21 W21 L19 O19 T19 W19 L17 O17 T17 W17 L27 O27 T27 W27" name="範囲1"/>
    <protectedRange sqref="Q75:R75" name="範囲2"/>
  </protectedRanges>
  <mergeCells count="427">
    <mergeCell ref="D1:AA2"/>
    <mergeCell ref="BH2:BM2"/>
    <mergeCell ref="BY6:CA6"/>
    <mergeCell ref="CK6:CM6"/>
    <mergeCell ref="CN6:CP6"/>
    <mergeCell ref="B8:D9"/>
    <mergeCell ref="O8:Q8"/>
    <mergeCell ref="S8:U8"/>
    <mergeCell ref="J9:L9"/>
    <mergeCell ref="N9:Q9"/>
    <mergeCell ref="S9:V9"/>
    <mergeCell ref="CC9:CE9"/>
    <mergeCell ref="CJ10:CL10"/>
    <mergeCell ref="A11:C11"/>
    <mergeCell ref="G11:I11"/>
    <mergeCell ref="J11:K11"/>
    <mergeCell ref="L11:M11"/>
    <mergeCell ref="O11:P11"/>
    <mergeCell ref="R11:S11"/>
    <mergeCell ref="T11:U11"/>
    <mergeCell ref="W11:X11"/>
    <mergeCell ref="CJ11:CL11"/>
    <mergeCell ref="F10:J10"/>
    <mergeCell ref="M10:O10"/>
    <mergeCell ref="P10:T10"/>
    <mergeCell ref="U10:W10"/>
    <mergeCell ref="AA10:AE10"/>
    <mergeCell ref="AF10:AJ10"/>
    <mergeCell ref="BP10:BW10"/>
    <mergeCell ref="BY10:CA10"/>
    <mergeCell ref="CF10:CH10"/>
    <mergeCell ref="CN11:CP11"/>
    <mergeCell ref="A12:C12"/>
    <mergeCell ref="W12:AN12"/>
    <mergeCell ref="G13:I13"/>
    <mergeCell ref="J13:K13"/>
    <mergeCell ref="L13:M13"/>
    <mergeCell ref="O13:P13"/>
    <mergeCell ref="R13:S13"/>
    <mergeCell ref="T13:U13"/>
    <mergeCell ref="BP11:BQ11"/>
    <mergeCell ref="BR11:BS11"/>
    <mergeCell ref="BU11:BW11"/>
    <mergeCell ref="BY11:CA11"/>
    <mergeCell ref="CC11:CD11"/>
    <mergeCell ref="CF11:CH11"/>
    <mergeCell ref="Z11:AA11"/>
    <mergeCell ref="AB11:AD11"/>
    <mergeCell ref="AF11:AH11"/>
    <mergeCell ref="AI11:AL11"/>
    <mergeCell ref="AN11:AP11"/>
    <mergeCell ref="AQ11:AR11"/>
    <mergeCell ref="CF13:CH13"/>
    <mergeCell ref="CJ13:CL13"/>
    <mergeCell ref="CN13:CP13"/>
    <mergeCell ref="A14:C14"/>
    <mergeCell ref="W14:AN14"/>
    <mergeCell ref="A15:C15"/>
    <mergeCell ref="G15:I15"/>
    <mergeCell ref="J15:K15"/>
    <mergeCell ref="L15:M15"/>
    <mergeCell ref="O15:P15"/>
    <mergeCell ref="AQ13:AR13"/>
    <mergeCell ref="BP13:BQ13"/>
    <mergeCell ref="BR13:BS13"/>
    <mergeCell ref="BU13:BW13"/>
    <mergeCell ref="BY13:CA13"/>
    <mergeCell ref="CC13:CD13"/>
    <mergeCell ref="W13:X13"/>
    <mergeCell ref="Z13:AA13"/>
    <mergeCell ref="AB13:AD13"/>
    <mergeCell ref="AF13:AH13"/>
    <mergeCell ref="AI13:AL13"/>
    <mergeCell ref="AN13:AP13"/>
    <mergeCell ref="O17:P17"/>
    <mergeCell ref="R17:S17"/>
    <mergeCell ref="BY15:CA15"/>
    <mergeCell ref="CC15:CD15"/>
    <mergeCell ref="CF15:CH15"/>
    <mergeCell ref="CJ15:CL15"/>
    <mergeCell ref="CN15:CP15"/>
    <mergeCell ref="W16:AN16"/>
    <mergeCell ref="AI15:AL15"/>
    <mergeCell ref="AN15:AP15"/>
    <mergeCell ref="AQ15:AR15"/>
    <mergeCell ref="BP15:BQ15"/>
    <mergeCell ref="BR15:BS15"/>
    <mergeCell ref="BU15:BW15"/>
    <mergeCell ref="R15:S15"/>
    <mergeCell ref="T15:U15"/>
    <mergeCell ref="W15:X15"/>
    <mergeCell ref="Z15:AA15"/>
    <mergeCell ref="AB15:AD15"/>
    <mergeCell ref="AF15:AH15"/>
    <mergeCell ref="CC17:CD17"/>
    <mergeCell ref="CF17:CH17"/>
    <mergeCell ref="CJ17:CL17"/>
    <mergeCell ref="CN17:CP17"/>
    <mergeCell ref="W18:AN18"/>
    <mergeCell ref="A19:C19"/>
    <mergeCell ref="G19:I19"/>
    <mergeCell ref="J19:K19"/>
    <mergeCell ref="L19:M19"/>
    <mergeCell ref="O19:P19"/>
    <mergeCell ref="AN17:AP17"/>
    <mergeCell ref="AQ17:AR17"/>
    <mergeCell ref="BP17:BQ17"/>
    <mergeCell ref="BR17:BS17"/>
    <mergeCell ref="BU17:BW17"/>
    <mergeCell ref="BY17:CA17"/>
    <mergeCell ref="T17:U17"/>
    <mergeCell ref="W17:X17"/>
    <mergeCell ref="Z17:AA17"/>
    <mergeCell ref="AB17:AD17"/>
    <mergeCell ref="AF17:AH17"/>
    <mergeCell ref="AI17:AL17"/>
    <mergeCell ref="A17:C17"/>
    <mergeCell ref="G17:I17"/>
    <mergeCell ref="J17:K17"/>
    <mergeCell ref="L17:M17"/>
    <mergeCell ref="O21:P21"/>
    <mergeCell ref="R21:S21"/>
    <mergeCell ref="BY19:CA19"/>
    <mergeCell ref="CC19:CD19"/>
    <mergeCell ref="CF19:CH19"/>
    <mergeCell ref="CJ19:CL19"/>
    <mergeCell ref="CN19:CP19"/>
    <mergeCell ref="W20:AN20"/>
    <mergeCell ref="AI19:AL19"/>
    <mergeCell ref="AN19:AP19"/>
    <mergeCell ref="AQ19:AR19"/>
    <mergeCell ref="BP19:BQ19"/>
    <mergeCell ref="BR19:BS19"/>
    <mergeCell ref="BU19:BW19"/>
    <mergeCell ref="R19:S19"/>
    <mergeCell ref="T19:U19"/>
    <mergeCell ref="W19:X19"/>
    <mergeCell ref="Z19:AA19"/>
    <mergeCell ref="AB19:AD19"/>
    <mergeCell ref="AF19:AH19"/>
    <mergeCell ref="CC21:CD21"/>
    <mergeCell ref="CF21:CH21"/>
    <mergeCell ref="CJ21:CL21"/>
    <mergeCell ref="CN21:CP21"/>
    <mergeCell ref="W22:AN22"/>
    <mergeCell ref="A23:C23"/>
    <mergeCell ref="G23:I23"/>
    <mergeCell ref="J23:K23"/>
    <mergeCell ref="L23:M23"/>
    <mergeCell ref="O23:P23"/>
    <mergeCell ref="AN21:AP21"/>
    <mergeCell ref="AQ21:AR21"/>
    <mergeCell ref="BP21:BQ21"/>
    <mergeCell ref="BR21:BS21"/>
    <mergeCell ref="BU21:BW21"/>
    <mergeCell ref="BY21:CA21"/>
    <mergeCell ref="T21:U21"/>
    <mergeCell ref="W21:X21"/>
    <mergeCell ref="Z21:AA21"/>
    <mergeCell ref="AB21:AD21"/>
    <mergeCell ref="AF21:AH21"/>
    <mergeCell ref="AI21:AL21"/>
    <mergeCell ref="A21:C21"/>
    <mergeCell ref="G21:I21"/>
    <mergeCell ref="J21:K21"/>
    <mergeCell ref="L21:M21"/>
    <mergeCell ref="J25:K25"/>
    <mergeCell ref="L25:M25"/>
    <mergeCell ref="O25:P25"/>
    <mergeCell ref="R25:S25"/>
    <mergeCell ref="BY23:CA23"/>
    <mergeCell ref="CC23:CD23"/>
    <mergeCell ref="CF23:CH23"/>
    <mergeCell ref="CJ23:CL23"/>
    <mergeCell ref="CN23:CP23"/>
    <mergeCell ref="W24:AN24"/>
    <mergeCell ref="AI23:AL23"/>
    <mergeCell ref="AN23:AP23"/>
    <mergeCell ref="AQ23:AR23"/>
    <mergeCell ref="BP23:BQ23"/>
    <mergeCell ref="BR23:BS23"/>
    <mergeCell ref="BU23:BW23"/>
    <mergeCell ref="R23:S23"/>
    <mergeCell ref="T23:U23"/>
    <mergeCell ref="W23:X23"/>
    <mergeCell ref="Z23:AA23"/>
    <mergeCell ref="AB23:AD23"/>
    <mergeCell ref="AF23:AH23"/>
    <mergeCell ref="CC25:CD25"/>
    <mergeCell ref="CF25:CH25"/>
    <mergeCell ref="CJ25:CL25"/>
    <mergeCell ref="CN25:CP25"/>
    <mergeCell ref="W26:AN26"/>
    <mergeCell ref="A27:C27"/>
    <mergeCell ref="G27:I27"/>
    <mergeCell ref="J27:K27"/>
    <mergeCell ref="L27:M27"/>
    <mergeCell ref="O27:P27"/>
    <mergeCell ref="AN25:AP25"/>
    <mergeCell ref="AQ25:AR25"/>
    <mergeCell ref="BP25:BQ25"/>
    <mergeCell ref="BR25:BS25"/>
    <mergeCell ref="BU25:BW25"/>
    <mergeCell ref="BY25:CA25"/>
    <mergeCell ref="T25:U25"/>
    <mergeCell ref="W25:X25"/>
    <mergeCell ref="Z25:AA25"/>
    <mergeCell ref="AB25:AD25"/>
    <mergeCell ref="AF25:AH25"/>
    <mergeCell ref="AI25:AL25"/>
    <mergeCell ref="A25:C25"/>
    <mergeCell ref="G25:I25"/>
    <mergeCell ref="CJ27:CL27"/>
    <mergeCell ref="CN27:CP27"/>
    <mergeCell ref="A29:C29"/>
    <mergeCell ref="G29:I29"/>
    <mergeCell ref="J29:K29"/>
    <mergeCell ref="L29:M29"/>
    <mergeCell ref="O29:P29"/>
    <mergeCell ref="R29:S29"/>
    <mergeCell ref="BY27:CA27"/>
    <mergeCell ref="CC27:CD27"/>
    <mergeCell ref="CF27:CH27"/>
    <mergeCell ref="R27:S27"/>
    <mergeCell ref="T27:U27"/>
    <mergeCell ref="W28:AN28"/>
    <mergeCell ref="AI27:AL27"/>
    <mergeCell ref="AN27:AP27"/>
    <mergeCell ref="AQ27:AR27"/>
    <mergeCell ref="BP27:BQ27"/>
    <mergeCell ref="BR27:BS27"/>
    <mergeCell ref="BU27:BW27"/>
    <mergeCell ref="W27:X27"/>
    <mergeCell ref="Z27:AA27"/>
    <mergeCell ref="AB27:AD27"/>
    <mergeCell ref="AF27:AH27"/>
    <mergeCell ref="CN29:CP29"/>
    <mergeCell ref="W30:AN30"/>
    <mergeCell ref="U31:AE31"/>
    <mergeCell ref="AF31:AI31"/>
    <mergeCell ref="AK31:AP31"/>
    <mergeCell ref="AQ31:AT31"/>
    <mergeCell ref="BY31:CA31"/>
    <mergeCell ref="AN29:AP29"/>
    <mergeCell ref="AQ29:AR29"/>
    <mergeCell ref="BP29:BQ29"/>
    <mergeCell ref="BR29:BS29"/>
    <mergeCell ref="BU29:BW29"/>
    <mergeCell ref="BY29:CA29"/>
    <mergeCell ref="T29:U29"/>
    <mergeCell ref="W29:X29"/>
    <mergeCell ref="Z29:AA29"/>
    <mergeCell ref="AB29:AD29"/>
    <mergeCell ref="AF29:AH29"/>
    <mergeCell ref="AI29:AL29"/>
    <mergeCell ref="CC31:CD31"/>
    <mergeCell ref="CF31:CH31"/>
    <mergeCell ref="AD32:AS32"/>
    <mergeCell ref="N34:P34"/>
    <mergeCell ref="R34:S34"/>
    <mergeCell ref="BN34:BP34"/>
    <mergeCell ref="CC29:CD29"/>
    <mergeCell ref="CF29:CH29"/>
    <mergeCell ref="CJ29:CL29"/>
    <mergeCell ref="Y43:AB43"/>
    <mergeCell ref="K44:M44"/>
    <mergeCell ref="O44:Q44"/>
    <mergeCell ref="U44:W44"/>
    <mergeCell ref="Y44:AB44"/>
    <mergeCell ref="AF44:AK44"/>
    <mergeCell ref="N35:P35"/>
    <mergeCell ref="R35:T35"/>
    <mergeCell ref="N37:P37"/>
    <mergeCell ref="R37:S37"/>
    <mergeCell ref="T37:V37"/>
    <mergeCell ref="K43:M43"/>
    <mergeCell ref="U43:W43"/>
    <mergeCell ref="F56:G56"/>
    <mergeCell ref="J56:K56"/>
    <mergeCell ref="U56:X56"/>
    <mergeCell ref="Y56:AA56"/>
    <mergeCell ref="AC56:AH56"/>
    <mergeCell ref="K46:M46"/>
    <mergeCell ref="O46:Q46"/>
    <mergeCell ref="U46:W46"/>
    <mergeCell ref="Y46:AB46"/>
    <mergeCell ref="AF46:AK46"/>
    <mergeCell ref="I48:K49"/>
    <mergeCell ref="L48:O48"/>
    <mergeCell ref="Q48:T48"/>
    <mergeCell ref="L49:O49"/>
    <mergeCell ref="Q49:T49"/>
    <mergeCell ref="U59:X59"/>
    <mergeCell ref="Z59:AA59"/>
    <mergeCell ref="AC59:AG59"/>
    <mergeCell ref="AI59:AM59"/>
    <mergeCell ref="U60:X60"/>
    <mergeCell ref="Z60:AA60"/>
    <mergeCell ref="AC60:AG60"/>
    <mergeCell ref="AI60:AM60"/>
    <mergeCell ref="V49:Z49"/>
    <mergeCell ref="O51:V51"/>
    <mergeCell ref="X51:Z51"/>
    <mergeCell ref="AB51:AH51"/>
    <mergeCell ref="U66:X66"/>
    <mergeCell ref="Z66:AA66"/>
    <mergeCell ref="AC66:AG66"/>
    <mergeCell ref="AI66:AM66"/>
    <mergeCell ref="U67:X67"/>
    <mergeCell ref="Z67:AA67"/>
    <mergeCell ref="AC67:AG67"/>
    <mergeCell ref="AI67:AM67"/>
    <mergeCell ref="AO60:AS60"/>
    <mergeCell ref="U62:X62"/>
    <mergeCell ref="Z62:AA62"/>
    <mergeCell ref="AC62:AG62"/>
    <mergeCell ref="AI62:AM62"/>
    <mergeCell ref="U63:X63"/>
    <mergeCell ref="Z63:AA63"/>
    <mergeCell ref="AC63:AG63"/>
    <mergeCell ref="AI63:AM63"/>
    <mergeCell ref="AO63:AS63"/>
    <mergeCell ref="AO67:AS67"/>
    <mergeCell ref="U69:X69"/>
    <mergeCell ref="Z69:AA69"/>
    <mergeCell ref="AC69:AG69"/>
    <mergeCell ref="AI69:AM69"/>
    <mergeCell ref="U70:X70"/>
    <mergeCell ref="Z70:AA70"/>
    <mergeCell ref="AC70:AG70"/>
    <mergeCell ref="AI70:AM70"/>
    <mergeCell ref="AO70:AS70"/>
    <mergeCell ref="F78:J78"/>
    <mergeCell ref="L78:M78"/>
    <mergeCell ref="P78:V78"/>
    <mergeCell ref="F79:J79"/>
    <mergeCell ref="L79:M79"/>
    <mergeCell ref="P79:V79"/>
    <mergeCell ref="G75:H75"/>
    <mergeCell ref="M75:N75"/>
    <mergeCell ref="Q75:R75"/>
    <mergeCell ref="T75:AG75"/>
    <mergeCell ref="G77:J77"/>
    <mergeCell ref="L77:M77"/>
    <mergeCell ref="D85:T86"/>
    <mergeCell ref="J87:L87"/>
    <mergeCell ref="N87:P87"/>
    <mergeCell ref="G88:I88"/>
    <mergeCell ref="J88:L88"/>
    <mergeCell ref="N88:P88"/>
    <mergeCell ref="F81:J81"/>
    <mergeCell ref="L81:M81"/>
    <mergeCell ref="P81:V81"/>
    <mergeCell ref="F82:J82"/>
    <mergeCell ref="L82:M82"/>
    <mergeCell ref="P82:V82"/>
    <mergeCell ref="W92:Y92"/>
    <mergeCell ref="J93:L93"/>
    <mergeCell ref="N93:P93"/>
    <mergeCell ref="R93:U93"/>
    <mergeCell ref="W93:Y93"/>
    <mergeCell ref="AA93:AG93"/>
    <mergeCell ref="G90:I90"/>
    <mergeCell ref="J90:L90"/>
    <mergeCell ref="N90:P90"/>
    <mergeCell ref="J92:L92"/>
    <mergeCell ref="N92:P92"/>
    <mergeCell ref="R92:U92"/>
    <mergeCell ref="AA96:AG96"/>
    <mergeCell ref="B99:E100"/>
    <mergeCell ref="H99:K99"/>
    <mergeCell ref="L99:P99"/>
    <mergeCell ref="R99:V99"/>
    <mergeCell ref="X99:AB99"/>
    <mergeCell ref="AD99:AI99"/>
    <mergeCell ref="J95:L95"/>
    <mergeCell ref="N95:P95"/>
    <mergeCell ref="R95:U95"/>
    <mergeCell ref="W95:Y95"/>
    <mergeCell ref="J96:L96"/>
    <mergeCell ref="N96:P96"/>
    <mergeCell ref="R96:U96"/>
    <mergeCell ref="W96:Y96"/>
    <mergeCell ref="F102:K102"/>
    <mergeCell ref="F103:K104"/>
    <mergeCell ref="L103:P104"/>
    <mergeCell ref="R103:V103"/>
    <mergeCell ref="X103:AB103"/>
    <mergeCell ref="AD103:AI103"/>
    <mergeCell ref="AK99:AQ99"/>
    <mergeCell ref="F101:K101"/>
    <mergeCell ref="L101:P101"/>
    <mergeCell ref="R101:V101"/>
    <mergeCell ref="X101:AB101"/>
    <mergeCell ref="AD101:AI101"/>
    <mergeCell ref="AK101:AQ101"/>
    <mergeCell ref="AK103:AP103"/>
    <mergeCell ref="R106:V106"/>
    <mergeCell ref="X106:AB106"/>
    <mergeCell ref="AD106:AI106"/>
    <mergeCell ref="AK106:AQ106"/>
    <mergeCell ref="B107:E108"/>
    <mergeCell ref="H107:K107"/>
    <mergeCell ref="L107:P107"/>
    <mergeCell ref="R107:V107"/>
    <mergeCell ref="X107:AB107"/>
    <mergeCell ref="F109:K109"/>
    <mergeCell ref="L109:P109"/>
    <mergeCell ref="R109:V109"/>
    <mergeCell ref="X109:AB109"/>
    <mergeCell ref="AD109:AI109"/>
    <mergeCell ref="AK109:AQ109"/>
    <mergeCell ref="AD107:AI107"/>
    <mergeCell ref="AK107:AQ107"/>
    <mergeCell ref="R108:V108"/>
    <mergeCell ref="X108:AB108"/>
    <mergeCell ref="AD108:AI108"/>
    <mergeCell ref="AK108:AQ108"/>
    <mergeCell ref="K114:P114"/>
    <mergeCell ref="W114:AB114"/>
    <mergeCell ref="B115:AU115"/>
    <mergeCell ref="F111:K112"/>
    <mergeCell ref="L111:P112"/>
    <mergeCell ref="R111:V111"/>
    <mergeCell ref="X111:AB111"/>
    <mergeCell ref="AD111:AI111"/>
    <mergeCell ref="AK111:AP111"/>
  </mergeCells>
  <phoneticPr fontId="2"/>
  <conditionalFormatting sqref="F78:J79 L78:N79 P78:V79 AC78:AC83 AE78:AG83 AI78:AO83 AA79:AB79 Y80 Z80:AB83 F81:J82 L81:N82 P81:V82 Y83">
    <cfRule type="expression" dxfId="32" priority="24">
      <formula>$BA$76=FALSE</formula>
    </cfRule>
  </conditionalFormatting>
  <conditionalFormatting sqref="J56:K57 F56:G58">
    <cfRule type="expression" dxfId="31" priority="19">
      <formula>$AQ$31=0</formula>
    </cfRule>
  </conditionalFormatting>
  <conditionalFormatting sqref="J93:L93 J96:L97">
    <cfRule type="expression" dxfId="30" priority="32">
      <formula>$BA$89=FALSE</formula>
    </cfRule>
  </conditionalFormatting>
  <conditionalFormatting sqref="M75:N75 Q75:R75">
    <cfRule type="expression" dxfId="29" priority="23">
      <formula>$BA$76=FALSE</formula>
    </cfRule>
    <cfRule type="expression" dxfId="28" priority="22">
      <formula>$BA$76=FALSE</formula>
    </cfRule>
  </conditionalFormatting>
  <conditionalFormatting sqref="N38 AC60:AC61 AC67:AC68 AJ70:AN70 N93:P93 R93:U93 AA93:AG93 N96:P97 R96:U97 AA96:AG97">
    <cfRule type="expression" dxfId="27" priority="25">
      <formula>$BA$89=FALSE</formula>
    </cfRule>
  </conditionalFormatting>
  <conditionalFormatting sqref="T37:V37">
    <cfRule type="cellIs" dxfId="26" priority="21" operator="notEqual">
      <formula>""</formula>
    </cfRule>
  </conditionalFormatting>
  <conditionalFormatting sqref="U60:U61 U67:U68 AB70:AE70">
    <cfRule type="expression" dxfId="25" priority="29">
      <formula>OR($AQ$31=0,AND($AQ$31&gt;0,$BA$89=FALSE))</formula>
    </cfRule>
  </conditionalFormatting>
  <conditionalFormatting sqref="W93:Y93 W96:Y96">
    <cfRule type="expression" dxfId="24" priority="26">
      <formula>$BA$89=FALSE</formula>
    </cfRule>
    <cfRule type="cellIs" dxfId="23" priority="27" operator="notEqual">
      <formula>$N$37</formula>
    </cfRule>
    <cfRule type="expression" dxfId="22" priority="28">
      <formula>$BA$89=FALSE</formula>
    </cfRule>
  </conditionalFormatting>
  <conditionalFormatting sqref="Y44:AB44 Y46:AB46">
    <cfRule type="cellIs" dxfId="21" priority="20" operator="notEqual">
      <formula>$N$37</formula>
    </cfRule>
  </conditionalFormatting>
  <conditionalFormatting sqref="Z59 U59:U62 AC59:AC62 Z62 Z66 U66:U69 AC66:AC69 Z69 AJ70:AN70">
    <cfRule type="expression" dxfId="20" priority="18">
      <formula>$AQ$31=0</formula>
    </cfRule>
  </conditionalFormatting>
  <conditionalFormatting sqref="Z60:Z61 Z67:Z68 AG70:AH70">
    <cfRule type="expression" dxfId="19" priority="31">
      <formula>OR($AQ$31=0,AND($AQ$31&gt;0,$BA$89=FALSE))</formula>
    </cfRule>
  </conditionalFormatting>
  <conditionalFormatting sqref="AB70:AE70">
    <cfRule type="expression" dxfId="18" priority="30">
      <formula>$AQ$31=0</formula>
    </cfRule>
  </conditionalFormatting>
  <conditionalFormatting sqref="AF11:AH11 AF13:AH13 AF15:AH15">
    <cfRule type="cellIs" dxfId="17" priority="17" operator="equal">
      <formula>"20時間を"</formula>
    </cfRule>
  </conditionalFormatting>
  <conditionalFormatting sqref="AF17:AH17">
    <cfRule type="cellIs" dxfId="16" priority="4" operator="equal">
      <formula>"20時間を"</formula>
    </cfRule>
  </conditionalFormatting>
  <conditionalFormatting sqref="AF19:AH19">
    <cfRule type="cellIs" dxfId="15" priority="6" operator="equal">
      <formula>"20時間を"</formula>
    </cfRule>
  </conditionalFormatting>
  <conditionalFormatting sqref="AF21:AH21">
    <cfRule type="cellIs" dxfId="14" priority="8" operator="equal">
      <formula>"20時間を"</formula>
    </cfRule>
  </conditionalFormatting>
  <conditionalFormatting sqref="AF23:AH23">
    <cfRule type="cellIs" dxfId="13" priority="10" operator="equal">
      <formula>"20時間を"</formula>
    </cfRule>
  </conditionalFormatting>
  <conditionalFormatting sqref="AF25:AH25">
    <cfRule type="cellIs" dxfId="12" priority="12" operator="equal">
      <formula>"20時間を"</formula>
    </cfRule>
  </conditionalFormatting>
  <conditionalFormatting sqref="AF27:AH27">
    <cfRule type="cellIs" dxfId="11" priority="2" operator="equal">
      <formula>"20時間を"</formula>
    </cfRule>
  </conditionalFormatting>
  <conditionalFormatting sqref="AF29:AH29">
    <cfRule type="cellIs" dxfId="10" priority="14" operator="equal">
      <formula>"20時間を"</formula>
    </cfRule>
  </conditionalFormatting>
  <conditionalFormatting sqref="AI59 AI62 AI66">
    <cfRule type="expression" dxfId="9" priority="33">
      <formula>OR($AQ$31=0,AND($AQ$31&gt;0,$G$88=TRUE))</formula>
    </cfRule>
  </conditionalFormatting>
  <conditionalFormatting sqref="AI69">
    <cfRule type="expression" dxfId="8" priority="15">
      <formula>OR($AQ$31=0,AND($AQ$31&gt;0,$G$88=TRUE))</formula>
    </cfRule>
  </conditionalFormatting>
  <conditionalFormatting sqref="AI11:AL11 AI13:AL13 AI15:AL15">
    <cfRule type="cellIs" dxfId="7" priority="16" operator="equal">
      <formula>"超えています"</formula>
    </cfRule>
  </conditionalFormatting>
  <conditionalFormatting sqref="AI17:AL17">
    <cfRule type="cellIs" dxfId="6" priority="3" operator="equal">
      <formula>"超えています"</formula>
    </cfRule>
  </conditionalFormatting>
  <conditionalFormatting sqref="AI19:AL19">
    <cfRule type="cellIs" dxfId="5" priority="5" operator="equal">
      <formula>"超えています"</formula>
    </cfRule>
  </conditionalFormatting>
  <conditionalFormatting sqref="AI21:AL21">
    <cfRule type="cellIs" dxfId="4" priority="7" operator="equal">
      <formula>"超えています"</formula>
    </cfRule>
  </conditionalFormatting>
  <conditionalFormatting sqref="AI23:AL23">
    <cfRule type="cellIs" dxfId="3" priority="9" operator="equal">
      <formula>"超えています"</formula>
    </cfRule>
  </conditionalFormatting>
  <conditionalFormatting sqref="AI25:AL25">
    <cfRule type="cellIs" dxfId="2" priority="11" operator="equal">
      <formula>"超えています"</formula>
    </cfRule>
  </conditionalFormatting>
  <conditionalFormatting sqref="AI27:AL27">
    <cfRule type="cellIs" dxfId="1" priority="1" operator="equal">
      <formula>"超えています"</formula>
    </cfRule>
  </conditionalFormatting>
  <conditionalFormatting sqref="AI29:AL29">
    <cfRule type="cellIs" dxfId="0" priority="13" operator="equal">
      <formula>"超えています"</formula>
    </cfRule>
  </conditionalFormatting>
  <dataValidations count="49">
    <dataValidation type="whole" operator="lessThanOrEqual" allowBlank="1" showInputMessage="1" showErrorMessage="1" errorTitle="２０％以内です！" error="割増率は２０％以内です！" sqref="J56:J57 F56:F58" xr:uid="{00000000-0002-0000-0200-000000000000}">
      <formula1>20</formula1>
    </dataValidation>
    <dataValidation type="whole" operator="greaterThanOrEqual" allowBlank="1" showInputMessage="1" showErrorMessage="1" errorTitle="最低３時間です！" error="３時間未満の場合は、3時間となります！" sqref="BP31:BP33 BE34" xr:uid="{00000000-0002-0000-0200-000001000000}">
      <formula1>3</formula1>
    </dataValidation>
    <dataValidation type="whole" operator="greaterThanOrEqual" allowBlank="1" showInputMessage="1" showErrorMessage="1" errorTitle="最低３時間です" error="３時間未満の場合は、3時間となります。" sqref="AV31:AW31" xr:uid="{00000000-0002-0000-0200-000002000000}">
      <formula1>3</formula1>
    </dataValidation>
    <dataValidation allowBlank="1" showDropDown="1" showInputMessage="1" showErrorMessage="1" sqref="G6:H6" xr:uid="{00000000-0002-0000-0200-000003000000}"/>
    <dataValidation type="whole" operator="lessThanOrEqual" allowBlank="1" showInputMessage="1" showErrorMessage="1" errorTitle="５０％以内です！" error="割増率は５０％以内です！" sqref="M75" xr:uid="{00000000-0002-0000-0200-000004000000}">
      <formula1>50</formula1>
    </dataValidation>
    <dataValidation type="whole" allowBlank="1" showInputMessage="1" showErrorMessage="1" errorTitle="範囲外で設定されています！" error="上限額と下限額の範囲内で設定してください！" sqref="AR93:AR94" xr:uid="{00000000-0002-0000-0200-000005000000}">
      <formula1>CN117</formula1>
      <formula2>CL117</formula2>
    </dataValidation>
    <dataValidation type="whole" allowBlank="1" showInputMessage="1" showErrorMessage="1" errorTitle="範囲外で設定されています！" error="上限額と下限額の範囲内で設定してください！" sqref="AR91:AR92" xr:uid="{00000000-0002-0000-0200-000006000000}">
      <formula1>CN116</formula1>
      <formula2>CL116</formula2>
    </dataValidation>
    <dataValidation type="whole" allowBlank="1" showInputMessage="1" showErrorMessage="1" errorTitle="範囲外で設定されています！" error="上限額と下限額の範囲内で設定してください！" sqref="AQ93:AQ94" xr:uid="{00000000-0002-0000-0200-000007000000}">
      <formula1>CN117</formula1>
      <formula2>CL117</formula2>
    </dataValidation>
    <dataValidation type="whole" allowBlank="1" showInputMessage="1" showErrorMessage="1" errorTitle="範囲外で設定されています！" error="上限額と下限額の範囲内で設定してください！" sqref="AQ91:AQ92" xr:uid="{00000000-0002-0000-0200-000008000000}">
      <formula1>CN116</formula1>
      <formula2>CL116</formula2>
    </dataValidation>
    <dataValidation type="whole" allowBlank="1" showInputMessage="1" showErrorMessage="1" errorTitle="範囲外で設定されています！" error="上限額と下限額の範囲内で設定してください！" sqref="AP93:AP94" xr:uid="{00000000-0002-0000-0200-000009000000}">
      <formula1>CN117</formula1>
      <formula2>CL117</formula2>
    </dataValidation>
    <dataValidation type="whole" allowBlank="1" showInputMessage="1" showErrorMessage="1" errorTitle="範囲外で設定されています！" error="上限額と下限額の範囲内で設定してください！" sqref="AP91:AP92" xr:uid="{00000000-0002-0000-0200-00000A000000}">
      <formula1>CN116</formula1>
      <formula2>CL116</formula2>
    </dataValidation>
    <dataValidation type="whole" allowBlank="1" showInputMessage="1" showErrorMessage="1" errorTitle="範囲外で設定されています！" error="上限額と下限額の範囲内で設定してください！" sqref="AO93:AO94" xr:uid="{00000000-0002-0000-0200-00000B000000}">
      <formula1>CN117</formula1>
      <formula2>CL117</formula2>
    </dataValidation>
    <dataValidation type="whole" allowBlank="1" showInputMessage="1" showErrorMessage="1" errorTitle="範囲外で設定されています！" error="上限額と下限額の範囲内で設定してください！" sqref="AO91:AO92" xr:uid="{00000000-0002-0000-0200-00000C000000}">
      <formula1>CN116</formula1>
      <formula2>CL116</formula2>
    </dataValidation>
    <dataValidation type="whole" allowBlank="1" showInputMessage="1" showErrorMessage="1" errorTitle="範囲外で設定されています！" error="上限額と下限額の範囲内で設定してください！" sqref="AN93:AN94" xr:uid="{00000000-0002-0000-0200-00000D000000}">
      <formula1>CN117</formula1>
      <formula2>CL117</formula2>
    </dataValidation>
    <dataValidation type="whole" allowBlank="1" showInputMessage="1" showErrorMessage="1" errorTitle="範囲外で設定されています！" error="上限額と下限額の範囲内で設定してください！" sqref="AN91:AN92" xr:uid="{00000000-0002-0000-0200-00000E000000}">
      <formula1>CN116</formula1>
      <formula2>CL116</formula2>
    </dataValidation>
    <dataValidation type="whole" allowBlank="1" showInputMessage="1" showErrorMessage="1" errorTitle="範囲外で設定されています！" error="上限額と下限額の範囲内で設定してください！" sqref="AK93:AK94" xr:uid="{00000000-0002-0000-0200-00000F000000}">
      <formula1>CN117</formula1>
      <formula2>CL117</formula2>
    </dataValidation>
    <dataValidation type="whole" allowBlank="1" showInputMessage="1" showErrorMessage="1" errorTitle="範囲外で設定されています！" error="上限額と下限額の範囲内で設定してください！" sqref="AJ91:AK92" xr:uid="{00000000-0002-0000-0200-000010000000}">
      <formula1>CM116</formula1>
      <formula2>CK116</formula2>
    </dataValidation>
    <dataValidation type="whole" allowBlank="1" showInputMessage="1" showErrorMessage="1" errorTitle="範囲外で設定されています！" error="上限額と下限額の範囲内で設定してください！" sqref="AL93:AL94" xr:uid="{00000000-0002-0000-0200-000011000000}">
      <formula1>CN117</formula1>
      <formula2>CL117</formula2>
    </dataValidation>
    <dataValidation type="whole" allowBlank="1" showInputMessage="1" showErrorMessage="1" errorTitle="範囲外で設定されています！" error="上限額と下限額の範囲内で設定してください！" sqref="AL91:AL92" xr:uid="{00000000-0002-0000-0200-000012000000}">
      <formula1>CN116</formula1>
      <formula2>CL116</formula2>
    </dataValidation>
    <dataValidation type="whole" allowBlank="1" showInputMessage="1" showErrorMessage="1" errorTitle="範囲外で設定されています！" error="上限額と下限額の範囲内で設定してください！" sqref="AM93:AM94" xr:uid="{00000000-0002-0000-0200-000013000000}">
      <formula1>CN117</formula1>
      <formula2>CL117</formula2>
    </dataValidation>
    <dataValidation type="whole" allowBlank="1" showInputMessage="1" showErrorMessage="1" errorTitle="範囲外で設定されています！" error="上限額と下限額の範囲内で設定してください！" sqref="AM91:AM92" xr:uid="{00000000-0002-0000-0200-000014000000}">
      <formula1>CN116</formula1>
      <formula2>CL116</formula2>
    </dataValidation>
    <dataValidation type="whole" allowBlank="1" showInputMessage="1" showErrorMessage="1" errorTitle="範囲外で設定されています！" error="上限額と下限額の範囲内で設定してください！" sqref="O94" xr:uid="{00000000-0002-0000-0200-000015000000}">
      <formula1>CN118</formula1>
      <formula2>CL118</formula2>
    </dataValidation>
    <dataValidation type="whole" allowBlank="1" showInputMessage="1" showErrorMessage="1" errorTitle="範囲外で設定されています！" error="上限額と下限額の範囲内で設定してください！" sqref="O91" xr:uid="{00000000-0002-0000-0200-000016000000}">
      <formula1>CN116</formula1>
      <formula2>CL116</formula2>
    </dataValidation>
    <dataValidation type="whole" allowBlank="1" showInputMessage="1" showErrorMessage="1" errorTitle="範囲外で設定されています！" error="上限額と下限額の範囲内で設定してください！" sqref="S94" xr:uid="{00000000-0002-0000-0200-000017000000}">
      <formula1>Q90</formula1>
      <formula2>M90</formula2>
    </dataValidation>
    <dataValidation type="whole" allowBlank="1" showInputMessage="1" showErrorMessage="1" errorTitle="範囲外で設定されています！" error="上限額と下限額の範囲内で設定してください！" sqref="S91" xr:uid="{00000000-0002-0000-0200-000018000000}">
      <formula1>Q88</formula1>
      <formula2>M88</formula2>
    </dataValidation>
    <dataValidation type="whole" allowBlank="1" showInputMessage="1" showErrorMessage="1" errorTitle="範囲外で設定されています！" error="上限額と下限額の範囲内で設定してください！" sqref="R94" xr:uid="{00000000-0002-0000-0200-000019000000}">
      <formula1>Q90</formula1>
      <formula2>M90</formula2>
    </dataValidation>
    <dataValidation type="whole" allowBlank="1" showInputMessage="1" showErrorMessage="1" errorTitle="範囲外で設定されています！" error="上限額と下限額の範囲内で設定してください！" sqref="R91" xr:uid="{00000000-0002-0000-0200-00001A000000}">
      <formula1>Q88</formula1>
      <formula2>M88</formula2>
    </dataValidation>
    <dataValidation type="whole" allowBlank="1" showInputMessage="1" showErrorMessage="1" errorTitle="範囲外で設定されています！" error="上限額と下限額の範囲内で設定してください！" sqref="P94" xr:uid="{00000000-0002-0000-0200-00001B000000}">
      <formula1>Q90</formula1>
      <formula2>M90</formula2>
    </dataValidation>
    <dataValidation type="whole" allowBlank="1" showInputMessage="1" showErrorMessage="1" errorTitle="範囲外で設定されています！" error="上限額と下限額の範囲内で設定してください！" sqref="P91" xr:uid="{00000000-0002-0000-0200-00001C000000}">
      <formula1>Q88</formula1>
      <formula2>M88</formula2>
    </dataValidation>
    <dataValidation type="whole" allowBlank="1" showInputMessage="1" showErrorMessage="1" errorTitle="範囲外で設定されています！" error="上限額と下限額の範囲内で設定してください！" sqref="N94" xr:uid="{00000000-0002-0000-0200-00001D000000}">
      <formula1>Q90</formula1>
      <formula2>M90</formula2>
    </dataValidation>
    <dataValidation type="whole" allowBlank="1" showInputMessage="1" showErrorMessage="1" errorTitle="範囲外で設定されています！" error="上限額と下限額の範囲内で設定してください！" sqref="N91" xr:uid="{00000000-0002-0000-0200-00001E000000}">
      <formula1>Q88</formula1>
      <formula2>M88</formula2>
    </dataValidation>
    <dataValidation type="whole" allowBlank="1" showInputMessage="1" showErrorMessage="1" errorTitle="範囲外で設定されています！" error="上限額と下限額の範囲内で設定してください！" sqref="AW36" xr:uid="{00000000-0002-0000-0200-00001F000000}">
      <formula1>T35</formula1>
      <formula2>BM36</formula2>
    </dataValidation>
    <dataValidation type="whole" allowBlank="1" showInputMessage="1" showErrorMessage="1" errorTitle="範囲外で設定されています！" error="上限額と下限額の範囲内で設定してください！" sqref="AV36" xr:uid="{00000000-0002-0000-0200-000020000000}">
      <formula1>T35</formula1>
      <formula2>BM36</formula2>
    </dataValidation>
    <dataValidation type="whole" allowBlank="1" showInputMessage="1" showErrorMessage="1" errorTitle="警告" error="上限額と下限額の範囲内で設定してください！" sqref="BK32:BK33" xr:uid="{00000000-0002-0000-0200-000021000000}">
      <formula1>CL11</formula1>
      <formula2>#REF!</formula2>
    </dataValidation>
    <dataValidation type="whole" allowBlank="1" showInputMessage="1" showErrorMessage="1" errorTitle="警告" error="上限額と下限額の範囲内で設定してください！" sqref="AZ34" xr:uid="{00000000-0002-0000-0200-000022000000}">
      <formula1>CL12</formula1>
      <formula2>P10</formula2>
    </dataValidation>
    <dataValidation type="whole" allowBlank="1" showInputMessage="1" showErrorMessage="1" errorTitle="警告" error="上限額と下限額の範囲内で設定してください！" sqref="BK31" xr:uid="{00000000-0002-0000-0200-000023000000}">
      <formula1>CL11</formula1>
      <formula2>CJ11</formula2>
    </dataValidation>
    <dataValidation type="whole" allowBlank="1" showInputMessage="1" showErrorMessage="1" errorTitle="範囲外で設定されています！" error="上限額と下限額の範囲内で設定してください！" sqref="AH9" xr:uid="{00000000-0002-0000-0200-000024000000}">
      <formula1>CC9</formula1>
      <formula2>CA9</formula2>
    </dataValidation>
    <dataValidation type="whole" allowBlank="1" showInputMessage="1" showErrorMessage="1" errorTitle="範囲外で設定されています！" error="上限額と下限額の範囲内で設定してください！" sqref="AG9" xr:uid="{00000000-0002-0000-0200-000025000000}">
      <formula1>CC9</formula1>
      <formula2>CA9</formula2>
    </dataValidation>
    <dataValidation type="whole" allowBlank="1" showInputMessage="1" showErrorMessage="1" errorTitle="範囲外で設定されています！" error="上限額と下限額の範囲内で設定してください！" sqref="AF9" xr:uid="{00000000-0002-0000-0200-000026000000}">
      <formula1>CC9</formula1>
      <formula2>CA9</formula2>
    </dataValidation>
    <dataValidation type="whole" allowBlank="1" showInputMessage="1" showErrorMessage="1" errorTitle="範囲外で設定されています！" error="上限額と下限額の範囲内で設定してください！" sqref="AE9" xr:uid="{00000000-0002-0000-0200-000027000000}">
      <formula1>CC9</formula1>
      <formula2>CA9</formula2>
    </dataValidation>
    <dataValidation type="whole" allowBlank="1" showInputMessage="1" showErrorMessage="1" errorTitle="範囲外で設定されています！" error="上限額と下限額の範囲内で設定してください！" sqref="AD9" xr:uid="{00000000-0002-0000-0200-000028000000}">
      <formula1>CC9</formula1>
      <formula2>CA9</formula2>
    </dataValidation>
    <dataValidation type="whole" allowBlank="1" showInputMessage="1" showErrorMessage="1" errorTitle="範囲外で設定されています！" error="上限額と下限額の範囲内で設定してください！" sqref="AC9" xr:uid="{00000000-0002-0000-0200-000029000000}">
      <formula1>CC9</formula1>
      <formula2>CA9</formula2>
    </dataValidation>
    <dataValidation type="whole" allowBlank="1" showInputMessage="1" showErrorMessage="1" errorTitle="範囲外で設定されています！" error="上限額と下限額の範囲内で設定してください！" sqref="W9:Z9" xr:uid="{00000000-0002-0000-0200-00002A000000}">
      <formula1>BZ9</formula1>
      <formula2>BX9</formula2>
    </dataValidation>
    <dataValidation type="whole" allowBlank="1" showInputMessage="1" showErrorMessage="1" errorTitle="範囲外で設定されています！" error="上限額と下限額の範囲内で設定してください！" sqref="AA9" xr:uid="{00000000-0002-0000-0200-00002B000000}">
      <formula1>CC9</formula1>
      <formula2>CA9</formula2>
    </dataValidation>
    <dataValidation type="whole" allowBlank="1" showInputMessage="1" showErrorMessage="1" errorTitle="範囲外で設定されています！" error="上限額と下限額の範囲内で設定してください！" sqref="AL9" xr:uid="{00000000-0002-0000-0200-00002C000000}">
      <formula1>V9</formula1>
      <formula2>R9</formula2>
    </dataValidation>
    <dataValidation type="whole" allowBlank="1" showInputMessage="1" showErrorMessage="1" errorTitle="範囲外で設定されています！" error="上限額と下限額の範囲内で設定してください！" sqref="AK9" xr:uid="{00000000-0002-0000-0200-00002D000000}">
      <formula1>V9</formula1>
      <formula2>R9</formula2>
    </dataValidation>
    <dataValidation type="whole" allowBlank="1" showInputMessage="1" showErrorMessage="1" errorTitle="範囲外で設定されています！" error="上限額と下限額の範囲内で設定してください！" sqref="S98" xr:uid="{00000000-0002-0000-0200-00002E000000}">
      <formula1>Q90</formula1>
      <formula2>M90</formula2>
    </dataValidation>
    <dataValidation type="whole" allowBlank="1" showInputMessage="1" showErrorMessage="1" errorTitle="範囲外で設定されています！" error="上限額と下限額の範囲内で設定してください！" sqref="R98" xr:uid="{00000000-0002-0000-0200-00002F000000}">
      <formula1>Q90</formula1>
      <formula2>M90</formula2>
    </dataValidation>
    <dataValidation allowBlank="1" showInputMessage="1" sqref="Q75:R75" xr:uid="{00000000-0002-0000-0200-000030000000}"/>
  </dataValidations>
  <pageMargins left="0.70866141732283472" right="0.23" top="0.39370078740157483" bottom="0.23622047244094491" header="0.31496062992125984" footer="0.23622047244094491"/>
  <pageSetup paperSize="9"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5</xdr:col>
                    <xdr:colOff>38100</xdr:colOff>
                    <xdr:row>4</xdr:row>
                    <xdr:rowOff>95250</xdr:rowOff>
                  </from>
                  <to>
                    <xdr:col>29</xdr:col>
                    <xdr:colOff>66675</xdr:colOff>
                    <xdr:row>5</xdr:row>
                    <xdr:rowOff>209550</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8</xdr:col>
                    <xdr:colOff>28575</xdr:colOff>
                    <xdr:row>37</xdr:row>
                    <xdr:rowOff>123825</xdr:rowOff>
                  </from>
                  <to>
                    <xdr:col>25</xdr:col>
                    <xdr:colOff>19050</xdr:colOff>
                    <xdr:row>42</xdr:row>
                    <xdr:rowOff>9525</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6</xdr:col>
                    <xdr:colOff>85725</xdr:colOff>
                    <xdr:row>4</xdr:row>
                    <xdr:rowOff>95250</xdr:rowOff>
                  </from>
                  <to>
                    <xdr:col>30</xdr:col>
                    <xdr:colOff>95250</xdr:colOff>
                    <xdr:row>5</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xdr:col>
                    <xdr:colOff>85725</xdr:colOff>
                    <xdr:row>70</xdr:row>
                    <xdr:rowOff>38100</xdr:rowOff>
                  </from>
                  <to>
                    <xdr:col>4</xdr:col>
                    <xdr:colOff>114300</xdr:colOff>
                    <xdr:row>71</xdr:row>
                    <xdr:rowOff>152400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85725</xdr:colOff>
                    <xdr:row>83</xdr:row>
                    <xdr:rowOff>0</xdr:rowOff>
                  </from>
                  <to>
                    <xdr:col>4</xdr:col>
                    <xdr:colOff>114300</xdr:colOff>
                    <xdr:row>84</xdr:row>
                    <xdr:rowOff>85725</xdr:rowOff>
                  </to>
                </anchor>
              </controlPr>
            </control>
          </mc:Choice>
        </mc:AlternateContent>
        <mc:AlternateContent xmlns:mc="http://schemas.openxmlformats.org/markup-compatibility/2006">
          <mc:Choice Requires="x14">
            <control shapeId="5126" r:id="rId9" name="Drop Down 6">
              <controlPr defaultSize="0" autoLine="0" autoPict="0">
                <anchor moveWithCells="1">
                  <from>
                    <xdr:col>6</xdr:col>
                    <xdr:colOff>38100</xdr:colOff>
                    <xdr:row>2</xdr:row>
                    <xdr:rowOff>142875</xdr:rowOff>
                  </from>
                  <to>
                    <xdr:col>9</xdr:col>
                    <xdr:colOff>133350</xdr:colOff>
                    <xdr:row>4</xdr:row>
                    <xdr:rowOff>19050</xdr:rowOff>
                  </to>
                </anchor>
              </controlPr>
            </control>
          </mc:Choice>
        </mc:AlternateContent>
        <mc:AlternateContent xmlns:mc="http://schemas.openxmlformats.org/markup-compatibility/2006">
          <mc:Choice Requires="x14">
            <control shapeId="5127" r:id="rId10" name="Option Button 7">
              <controlPr defaultSize="0" autoFill="0" autoLine="0" autoPict="0">
                <anchor moveWithCells="1">
                  <from>
                    <xdr:col>6</xdr:col>
                    <xdr:colOff>57150</xdr:colOff>
                    <xdr:row>5</xdr:row>
                    <xdr:rowOff>19050</xdr:rowOff>
                  </from>
                  <to>
                    <xdr:col>9</xdr:col>
                    <xdr:colOff>104775</xdr:colOff>
                    <xdr:row>5</xdr:row>
                    <xdr:rowOff>190500</xdr:rowOff>
                  </to>
                </anchor>
              </controlPr>
            </control>
          </mc:Choice>
        </mc:AlternateContent>
        <mc:AlternateContent xmlns:mc="http://schemas.openxmlformats.org/markup-compatibility/2006">
          <mc:Choice Requires="x14">
            <control shapeId="5128" r:id="rId11" name="Option Button 8">
              <controlPr defaultSize="0" autoFill="0" autoLine="0" autoPict="0">
                <anchor moveWithCells="1">
                  <from>
                    <xdr:col>10</xdr:col>
                    <xdr:colOff>57150</xdr:colOff>
                    <xdr:row>5</xdr:row>
                    <xdr:rowOff>19050</xdr:rowOff>
                  </from>
                  <to>
                    <xdr:col>13</xdr:col>
                    <xdr:colOff>38100</xdr:colOff>
                    <xdr:row>5</xdr:row>
                    <xdr:rowOff>190500</xdr:rowOff>
                  </to>
                </anchor>
              </controlPr>
            </control>
          </mc:Choice>
        </mc:AlternateContent>
        <mc:AlternateContent xmlns:mc="http://schemas.openxmlformats.org/markup-compatibility/2006">
          <mc:Choice Requires="x14">
            <control shapeId="5129" r:id="rId12" name="Option Button 9">
              <controlPr defaultSize="0" autoFill="0" autoLine="0" autoPict="0">
                <anchor moveWithCells="1">
                  <from>
                    <xdr:col>14</xdr:col>
                    <xdr:colOff>28575</xdr:colOff>
                    <xdr:row>5</xdr:row>
                    <xdr:rowOff>28575</xdr:rowOff>
                  </from>
                  <to>
                    <xdr:col>17</xdr:col>
                    <xdr:colOff>133350</xdr:colOff>
                    <xdr:row>5</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23"/>
  <sheetViews>
    <sheetView showRowColHeaders="0" zoomScale="87" zoomScaleNormal="87" workbookViewId="0">
      <selection activeCell="B2" sqref="B2:B4"/>
    </sheetView>
  </sheetViews>
  <sheetFormatPr defaultRowHeight="13.5" x14ac:dyDescent="0.15"/>
  <cols>
    <col min="2" max="2" width="9" style="23"/>
    <col min="9" max="9" width="9" style="23"/>
    <col min="16" max="16" width="9" style="23"/>
    <col min="23" max="23" width="9" style="23"/>
    <col min="30" max="30" width="9" style="23"/>
    <col min="37" max="37" width="9" style="23"/>
  </cols>
  <sheetData>
    <row r="1" spans="1:34" x14ac:dyDescent="0.15">
      <c r="A1" s="307" t="s">
        <v>59</v>
      </c>
      <c r="B1" s="308"/>
      <c r="C1" s="308"/>
      <c r="D1" s="308"/>
      <c r="E1" s="309"/>
      <c r="F1" s="198" t="s">
        <v>110</v>
      </c>
      <c r="H1" s="307" t="s">
        <v>60</v>
      </c>
      <c r="I1" s="308"/>
      <c r="J1" s="308"/>
      <c r="K1" s="308"/>
      <c r="L1" s="309"/>
      <c r="M1" s="199" t="s">
        <v>8</v>
      </c>
      <c r="O1" s="307" t="s">
        <v>61</v>
      </c>
      <c r="P1" s="308"/>
      <c r="Q1" s="308"/>
      <c r="R1" s="308"/>
      <c r="S1" s="309"/>
      <c r="T1" s="199" t="s">
        <v>8</v>
      </c>
      <c r="V1" s="307" t="s">
        <v>62</v>
      </c>
      <c r="W1" s="308"/>
      <c r="X1" s="308"/>
      <c r="Y1" s="308"/>
      <c r="Z1" s="309"/>
      <c r="AA1" s="199" t="s">
        <v>8</v>
      </c>
      <c r="AC1" s="307" t="s">
        <v>64</v>
      </c>
      <c r="AD1" s="308"/>
      <c r="AE1" s="308"/>
      <c r="AF1" s="308"/>
      <c r="AG1" s="309"/>
      <c r="AH1" s="199" t="s">
        <v>8</v>
      </c>
    </row>
    <row r="2" spans="1:34" x14ac:dyDescent="0.15">
      <c r="A2" s="310" t="s">
        <v>1</v>
      </c>
      <c r="B2" s="306" t="s">
        <v>2</v>
      </c>
      <c r="C2" s="198">
        <v>1</v>
      </c>
      <c r="D2" s="307" t="s">
        <v>3</v>
      </c>
      <c r="E2" s="309"/>
      <c r="F2" s="200">
        <v>140</v>
      </c>
      <c r="H2" s="310" t="s">
        <v>1</v>
      </c>
      <c r="I2" s="306" t="s">
        <v>2</v>
      </c>
      <c r="J2" s="198">
        <v>1</v>
      </c>
      <c r="K2" s="307" t="s">
        <v>3</v>
      </c>
      <c r="L2" s="309"/>
      <c r="M2" s="200">
        <v>170</v>
      </c>
      <c r="O2" s="310" t="s">
        <v>1</v>
      </c>
      <c r="P2" s="306" t="s">
        <v>2</v>
      </c>
      <c r="Q2" s="198">
        <v>1</v>
      </c>
      <c r="R2" s="307" t="s">
        <v>3</v>
      </c>
      <c r="S2" s="309"/>
      <c r="T2" s="200">
        <v>160</v>
      </c>
      <c r="V2" s="310" t="s">
        <v>1</v>
      </c>
      <c r="W2" s="306" t="s">
        <v>2</v>
      </c>
      <c r="X2" s="198">
        <v>1</v>
      </c>
      <c r="Y2" s="307" t="s">
        <v>3</v>
      </c>
      <c r="Z2" s="309"/>
      <c r="AA2" s="200">
        <v>150</v>
      </c>
      <c r="AC2" s="310" t="s">
        <v>1</v>
      </c>
      <c r="AD2" s="306" t="s">
        <v>2</v>
      </c>
      <c r="AE2" s="198">
        <v>1</v>
      </c>
      <c r="AF2" s="307" t="s">
        <v>3</v>
      </c>
      <c r="AG2" s="309"/>
      <c r="AH2" s="200">
        <v>140</v>
      </c>
    </row>
    <row r="3" spans="1:34" x14ac:dyDescent="0.15">
      <c r="A3" s="310"/>
      <c r="B3" s="306"/>
      <c r="C3" s="198">
        <v>2</v>
      </c>
      <c r="D3" s="307" t="s">
        <v>4</v>
      </c>
      <c r="E3" s="309"/>
      <c r="F3" s="200">
        <v>120</v>
      </c>
      <c r="H3" s="310"/>
      <c r="I3" s="306"/>
      <c r="J3" s="198">
        <v>2</v>
      </c>
      <c r="K3" s="307" t="s">
        <v>4</v>
      </c>
      <c r="L3" s="309"/>
      <c r="M3" s="200">
        <v>150</v>
      </c>
      <c r="O3" s="310"/>
      <c r="P3" s="306"/>
      <c r="Q3" s="198">
        <v>2</v>
      </c>
      <c r="R3" s="307" t="s">
        <v>4</v>
      </c>
      <c r="S3" s="309"/>
      <c r="T3" s="200">
        <v>140</v>
      </c>
      <c r="V3" s="310"/>
      <c r="W3" s="306"/>
      <c r="X3" s="198">
        <v>2</v>
      </c>
      <c r="Y3" s="307" t="s">
        <v>4</v>
      </c>
      <c r="Z3" s="309"/>
      <c r="AA3" s="200">
        <v>130</v>
      </c>
      <c r="AC3" s="310"/>
      <c r="AD3" s="306"/>
      <c r="AE3" s="198">
        <v>2</v>
      </c>
      <c r="AF3" s="307" t="s">
        <v>4</v>
      </c>
      <c r="AG3" s="309"/>
      <c r="AH3" s="200">
        <v>120</v>
      </c>
    </row>
    <row r="4" spans="1:34" x14ac:dyDescent="0.15">
      <c r="A4" s="310"/>
      <c r="B4" s="306"/>
      <c r="C4" s="198">
        <v>3</v>
      </c>
      <c r="D4" s="307" t="s">
        <v>5</v>
      </c>
      <c r="E4" s="309"/>
      <c r="F4" s="200">
        <v>100</v>
      </c>
      <c r="H4" s="310"/>
      <c r="I4" s="306"/>
      <c r="J4" s="198">
        <v>3</v>
      </c>
      <c r="K4" s="307" t="s">
        <v>5</v>
      </c>
      <c r="L4" s="309"/>
      <c r="M4" s="200">
        <v>130</v>
      </c>
      <c r="O4" s="310"/>
      <c r="P4" s="306"/>
      <c r="Q4" s="198">
        <v>3</v>
      </c>
      <c r="R4" s="307" t="s">
        <v>5</v>
      </c>
      <c r="S4" s="309"/>
      <c r="T4" s="200">
        <v>120</v>
      </c>
      <c r="V4" s="310"/>
      <c r="W4" s="306"/>
      <c r="X4" s="198">
        <v>3</v>
      </c>
      <c r="Y4" s="307" t="s">
        <v>5</v>
      </c>
      <c r="Z4" s="309"/>
      <c r="AA4" s="200">
        <v>110</v>
      </c>
      <c r="AC4" s="310"/>
      <c r="AD4" s="306"/>
      <c r="AE4" s="198">
        <v>3</v>
      </c>
      <c r="AF4" s="307" t="s">
        <v>5</v>
      </c>
      <c r="AG4" s="309"/>
      <c r="AH4" s="200">
        <v>100</v>
      </c>
    </row>
    <row r="5" spans="1:34" x14ac:dyDescent="0.15">
      <c r="A5" s="310"/>
      <c r="B5" s="306" t="s">
        <v>6</v>
      </c>
      <c r="C5" s="198">
        <v>1</v>
      </c>
      <c r="D5" s="307" t="s">
        <v>3</v>
      </c>
      <c r="E5" s="309"/>
      <c r="F5" s="200">
        <v>5570</v>
      </c>
      <c r="H5" s="310"/>
      <c r="I5" s="306" t="s">
        <v>6</v>
      </c>
      <c r="J5" s="198">
        <v>1</v>
      </c>
      <c r="K5" s="307" t="s">
        <v>3</v>
      </c>
      <c r="L5" s="309"/>
      <c r="M5" s="200">
        <v>6530</v>
      </c>
      <c r="O5" s="310"/>
      <c r="P5" s="306" t="s">
        <v>6</v>
      </c>
      <c r="Q5" s="198">
        <v>1</v>
      </c>
      <c r="R5" s="307" t="s">
        <v>3</v>
      </c>
      <c r="S5" s="309"/>
      <c r="T5" s="200">
        <v>6580</v>
      </c>
      <c r="V5" s="310"/>
      <c r="W5" s="306" t="s">
        <v>6</v>
      </c>
      <c r="X5" s="198">
        <v>1</v>
      </c>
      <c r="Y5" s="307" t="s">
        <v>3</v>
      </c>
      <c r="Z5" s="309"/>
      <c r="AA5" s="200">
        <v>6440</v>
      </c>
      <c r="AC5" s="310"/>
      <c r="AD5" s="306" t="s">
        <v>6</v>
      </c>
      <c r="AE5" s="198">
        <v>1</v>
      </c>
      <c r="AF5" s="307" t="s">
        <v>3</v>
      </c>
      <c r="AG5" s="309"/>
      <c r="AH5" s="200">
        <v>6820</v>
      </c>
    </row>
    <row r="6" spans="1:34" x14ac:dyDescent="0.15">
      <c r="A6" s="310"/>
      <c r="B6" s="306"/>
      <c r="C6" s="198">
        <v>2</v>
      </c>
      <c r="D6" s="307" t="s">
        <v>4</v>
      </c>
      <c r="E6" s="309"/>
      <c r="F6" s="200">
        <v>4700</v>
      </c>
      <c r="H6" s="310"/>
      <c r="I6" s="306"/>
      <c r="J6" s="198">
        <v>2</v>
      </c>
      <c r="K6" s="307" t="s">
        <v>4</v>
      </c>
      <c r="L6" s="309"/>
      <c r="M6" s="200">
        <v>5520</v>
      </c>
      <c r="O6" s="310"/>
      <c r="P6" s="306"/>
      <c r="Q6" s="198">
        <v>2</v>
      </c>
      <c r="R6" s="307" t="s">
        <v>4</v>
      </c>
      <c r="S6" s="309"/>
      <c r="T6" s="200">
        <v>5560</v>
      </c>
      <c r="V6" s="310"/>
      <c r="W6" s="306"/>
      <c r="X6" s="198">
        <v>2</v>
      </c>
      <c r="Y6" s="307" t="s">
        <v>4</v>
      </c>
      <c r="Z6" s="309"/>
      <c r="AA6" s="200">
        <v>5430</v>
      </c>
      <c r="AC6" s="310"/>
      <c r="AD6" s="306"/>
      <c r="AE6" s="198">
        <v>2</v>
      </c>
      <c r="AF6" s="307" t="s">
        <v>4</v>
      </c>
      <c r="AG6" s="309"/>
      <c r="AH6" s="200">
        <v>5760</v>
      </c>
    </row>
    <row r="7" spans="1:34" x14ac:dyDescent="0.15">
      <c r="A7" s="310"/>
      <c r="B7" s="306"/>
      <c r="C7" s="198">
        <v>3</v>
      </c>
      <c r="D7" s="307" t="s">
        <v>5</v>
      </c>
      <c r="E7" s="309"/>
      <c r="F7" s="200">
        <v>4030</v>
      </c>
      <c r="H7" s="310"/>
      <c r="I7" s="306"/>
      <c r="J7" s="198">
        <v>3</v>
      </c>
      <c r="K7" s="307" t="s">
        <v>5</v>
      </c>
      <c r="L7" s="309"/>
      <c r="M7" s="200">
        <v>4740</v>
      </c>
      <c r="O7" s="310"/>
      <c r="P7" s="306"/>
      <c r="Q7" s="198">
        <v>3</v>
      </c>
      <c r="R7" s="307" t="s">
        <v>5</v>
      </c>
      <c r="S7" s="309"/>
      <c r="T7" s="200">
        <v>4770</v>
      </c>
      <c r="V7" s="310"/>
      <c r="W7" s="306"/>
      <c r="X7" s="198">
        <v>3</v>
      </c>
      <c r="Y7" s="307" t="s">
        <v>5</v>
      </c>
      <c r="Z7" s="309"/>
      <c r="AA7" s="200">
        <v>4670</v>
      </c>
      <c r="AC7" s="310"/>
      <c r="AD7" s="306"/>
      <c r="AE7" s="198">
        <v>3</v>
      </c>
      <c r="AF7" s="307" t="s">
        <v>5</v>
      </c>
      <c r="AG7" s="309"/>
      <c r="AH7" s="200">
        <v>4940</v>
      </c>
    </row>
    <row r="8" spans="1:34" x14ac:dyDescent="0.15">
      <c r="A8" s="310" t="s">
        <v>9</v>
      </c>
      <c r="B8" s="306" t="s">
        <v>26</v>
      </c>
      <c r="C8" s="307" t="s">
        <v>2</v>
      </c>
      <c r="D8" s="308"/>
      <c r="E8" s="309"/>
      <c r="F8" s="201">
        <v>10</v>
      </c>
      <c r="H8" s="310" t="s">
        <v>9</v>
      </c>
      <c r="I8" s="306" t="s">
        <v>26</v>
      </c>
      <c r="J8" s="307" t="s">
        <v>2</v>
      </c>
      <c r="K8" s="308"/>
      <c r="L8" s="309"/>
      <c r="M8" s="201">
        <v>20</v>
      </c>
      <c r="O8" s="310" t="s">
        <v>9</v>
      </c>
      <c r="P8" s="306" t="s">
        <v>26</v>
      </c>
      <c r="Q8" s="307" t="s">
        <v>2</v>
      </c>
      <c r="R8" s="308"/>
      <c r="S8" s="309"/>
      <c r="T8" s="201">
        <v>40</v>
      </c>
      <c r="V8" s="310" t="s">
        <v>9</v>
      </c>
      <c r="W8" s="306" t="s">
        <v>26</v>
      </c>
      <c r="X8" s="307" t="s">
        <v>2</v>
      </c>
      <c r="Y8" s="308"/>
      <c r="Z8" s="309"/>
      <c r="AA8" s="201">
        <v>20</v>
      </c>
      <c r="AC8" s="310" t="s">
        <v>9</v>
      </c>
      <c r="AD8" s="306" t="s">
        <v>26</v>
      </c>
      <c r="AE8" s="307" t="s">
        <v>2</v>
      </c>
      <c r="AF8" s="308"/>
      <c r="AG8" s="309"/>
      <c r="AH8" s="201">
        <v>30</v>
      </c>
    </row>
    <row r="9" spans="1:34" x14ac:dyDescent="0.15">
      <c r="A9" s="310"/>
      <c r="B9" s="306"/>
      <c r="C9" s="199" t="s">
        <v>6</v>
      </c>
      <c r="D9" s="199"/>
      <c r="E9" s="201"/>
      <c r="F9" s="201">
        <v>2200</v>
      </c>
      <c r="H9" s="310"/>
      <c r="I9" s="306"/>
      <c r="J9" s="307" t="s">
        <v>6</v>
      </c>
      <c r="K9" s="308"/>
      <c r="L9" s="309"/>
      <c r="M9" s="201">
        <v>2040</v>
      </c>
      <c r="O9" s="310"/>
      <c r="P9" s="306"/>
      <c r="Q9" s="307" t="s">
        <v>6</v>
      </c>
      <c r="R9" s="308"/>
      <c r="S9" s="309"/>
      <c r="T9" s="201">
        <v>2430</v>
      </c>
      <c r="V9" s="310"/>
      <c r="W9" s="306"/>
      <c r="X9" s="307" t="s">
        <v>6</v>
      </c>
      <c r="Y9" s="308"/>
      <c r="Z9" s="309"/>
      <c r="AA9" s="201">
        <v>2310</v>
      </c>
      <c r="AC9" s="310"/>
      <c r="AD9" s="306"/>
      <c r="AE9" s="307" t="s">
        <v>6</v>
      </c>
      <c r="AF9" s="308"/>
      <c r="AG9" s="309"/>
      <c r="AH9" s="201">
        <v>2410</v>
      </c>
    </row>
    <row r="10" spans="1:34" ht="27" customHeight="1" x14ac:dyDescent="0.15">
      <c r="A10" s="310"/>
      <c r="B10" s="202" t="s">
        <v>10</v>
      </c>
      <c r="C10" s="311" t="s">
        <v>127</v>
      </c>
      <c r="D10" s="311"/>
      <c r="E10" s="311"/>
      <c r="F10" s="311"/>
      <c r="H10" s="310"/>
      <c r="I10" s="202" t="s">
        <v>10</v>
      </c>
      <c r="J10" s="311" t="s">
        <v>127</v>
      </c>
      <c r="K10" s="311"/>
      <c r="L10" s="311"/>
      <c r="M10" s="311"/>
      <c r="O10" s="310"/>
      <c r="P10" s="202" t="s">
        <v>10</v>
      </c>
      <c r="Q10" s="311" t="s">
        <v>127</v>
      </c>
      <c r="R10" s="311"/>
      <c r="S10" s="311"/>
      <c r="T10" s="311"/>
      <c r="V10" s="310"/>
      <c r="W10" s="202" t="s">
        <v>10</v>
      </c>
      <c r="X10" s="311" t="s">
        <v>127</v>
      </c>
      <c r="Y10" s="311"/>
      <c r="Z10" s="311"/>
      <c r="AA10" s="311"/>
      <c r="AC10" s="310"/>
      <c r="AD10" s="202" t="s">
        <v>10</v>
      </c>
      <c r="AE10" s="311" t="s">
        <v>127</v>
      </c>
      <c r="AF10" s="311"/>
      <c r="AG10" s="311"/>
      <c r="AH10" s="311"/>
    </row>
    <row r="11" spans="1:34" ht="27" x14ac:dyDescent="0.15">
      <c r="A11" s="310"/>
      <c r="B11" s="202" t="s">
        <v>11</v>
      </c>
      <c r="C11" s="310" t="s">
        <v>128</v>
      </c>
      <c r="D11" s="310"/>
      <c r="E11" s="310"/>
      <c r="F11" s="310"/>
      <c r="H11" s="310"/>
      <c r="I11" s="202" t="s">
        <v>11</v>
      </c>
      <c r="J11" s="310" t="s">
        <v>128</v>
      </c>
      <c r="K11" s="310"/>
      <c r="L11" s="310"/>
      <c r="M11" s="310"/>
      <c r="O11" s="310"/>
      <c r="P11" s="202" t="s">
        <v>11</v>
      </c>
      <c r="Q11" s="310" t="s">
        <v>128</v>
      </c>
      <c r="R11" s="310"/>
      <c r="S11" s="310"/>
      <c r="T11" s="310"/>
      <c r="V11" s="310"/>
      <c r="W11" s="202" t="s">
        <v>11</v>
      </c>
      <c r="X11" s="310" t="s">
        <v>128</v>
      </c>
      <c r="Y11" s="310"/>
      <c r="Z11" s="310"/>
      <c r="AA11" s="310"/>
      <c r="AC11" s="310"/>
      <c r="AD11" s="202" t="s">
        <v>11</v>
      </c>
      <c r="AE11" s="310" t="s">
        <v>128</v>
      </c>
      <c r="AF11" s="310"/>
      <c r="AG11" s="310"/>
      <c r="AH11" s="310"/>
    </row>
    <row r="13" spans="1:34" x14ac:dyDescent="0.15">
      <c r="A13" s="307" t="s">
        <v>63</v>
      </c>
      <c r="B13" s="308"/>
      <c r="C13" s="308"/>
      <c r="D13" s="308"/>
      <c r="E13" s="309"/>
      <c r="F13" s="199" t="s">
        <v>8</v>
      </c>
      <c r="H13" s="307" t="s">
        <v>89</v>
      </c>
      <c r="I13" s="308"/>
      <c r="J13" s="308"/>
      <c r="K13" s="308"/>
      <c r="L13" s="309"/>
      <c r="M13" s="199" t="s">
        <v>8</v>
      </c>
      <c r="O13" s="307" t="s">
        <v>65</v>
      </c>
      <c r="P13" s="308"/>
      <c r="Q13" s="308"/>
      <c r="R13" s="308"/>
      <c r="S13" s="309"/>
      <c r="T13" s="199" t="s">
        <v>8</v>
      </c>
      <c r="V13" s="307" t="s">
        <v>66</v>
      </c>
      <c r="W13" s="308"/>
      <c r="X13" s="308"/>
      <c r="Y13" s="308"/>
      <c r="Z13" s="309"/>
      <c r="AA13" s="199" t="s">
        <v>8</v>
      </c>
      <c r="AC13" s="307" t="s">
        <v>67</v>
      </c>
      <c r="AD13" s="308"/>
      <c r="AE13" s="308"/>
      <c r="AF13" s="308"/>
      <c r="AG13" s="309"/>
      <c r="AH13" s="199" t="s">
        <v>8</v>
      </c>
    </row>
    <row r="14" spans="1:34" x14ac:dyDescent="0.15">
      <c r="A14" s="310" t="s">
        <v>1</v>
      </c>
      <c r="B14" s="306" t="s">
        <v>2</v>
      </c>
      <c r="C14" s="198">
        <v>1</v>
      </c>
      <c r="D14" s="307" t="s">
        <v>3</v>
      </c>
      <c r="E14" s="309"/>
      <c r="F14" s="200">
        <v>160</v>
      </c>
      <c r="H14" s="310" t="s">
        <v>1</v>
      </c>
      <c r="I14" s="306" t="s">
        <v>2</v>
      </c>
      <c r="J14" s="198">
        <v>1</v>
      </c>
      <c r="K14" s="307" t="s">
        <v>3</v>
      </c>
      <c r="L14" s="309"/>
      <c r="M14" s="200">
        <v>190</v>
      </c>
      <c r="O14" s="310" t="s">
        <v>1</v>
      </c>
      <c r="P14" s="306" t="s">
        <v>2</v>
      </c>
      <c r="Q14" s="198">
        <v>1</v>
      </c>
      <c r="R14" s="307" t="s">
        <v>3</v>
      </c>
      <c r="S14" s="309"/>
      <c r="T14" s="200">
        <v>140</v>
      </c>
      <c r="V14" s="310" t="s">
        <v>1</v>
      </c>
      <c r="W14" s="306" t="s">
        <v>2</v>
      </c>
      <c r="X14" s="198">
        <v>1</v>
      </c>
      <c r="Y14" s="307" t="s">
        <v>3</v>
      </c>
      <c r="Z14" s="309"/>
      <c r="AA14" s="200">
        <v>140</v>
      </c>
      <c r="AC14" s="310" t="s">
        <v>1</v>
      </c>
      <c r="AD14" s="306" t="s">
        <v>2</v>
      </c>
      <c r="AE14" s="198">
        <v>1</v>
      </c>
      <c r="AF14" s="307" t="s">
        <v>3</v>
      </c>
      <c r="AG14" s="309"/>
      <c r="AH14" s="201">
        <v>200</v>
      </c>
    </row>
    <row r="15" spans="1:34" x14ac:dyDescent="0.15">
      <c r="A15" s="310"/>
      <c r="B15" s="306"/>
      <c r="C15" s="198">
        <v>2</v>
      </c>
      <c r="D15" s="307" t="s">
        <v>4</v>
      </c>
      <c r="E15" s="309"/>
      <c r="F15" s="200">
        <v>130</v>
      </c>
      <c r="H15" s="310"/>
      <c r="I15" s="306"/>
      <c r="J15" s="198">
        <v>2</v>
      </c>
      <c r="K15" s="307" t="s">
        <v>4</v>
      </c>
      <c r="L15" s="309"/>
      <c r="M15" s="200">
        <v>160</v>
      </c>
      <c r="O15" s="310"/>
      <c r="P15" s="306"/>
      <c r="Q15" s="198">
        <v>2</v>
      </c>
      <c r="R15" s="307" t="s">
        <v>4</v>
      </c>
      <c r="S15" s="309"/>
      <c r="T15" s="200">
        <v>120</v>
      </c>
      <c r="V15" s="310"/>
      <c r="W15" s="306"/>
      <c r="X15" s="198">
        <v>2</v>
      </c>
      <c r="Y15" s="307" t="s">
        <v>4</v>
      </c>
      <c r="Z15" s="309"/>
      <c r="AA15" s="200">
        <v>120</v>
      </c>
      <c r="AC15" s="310"/>
      <c r="AD15" s="306"/>
      <c r="AE15" s="198">
        <v>2</v>
      </c>
      <c r="AF15" s="307" t="s">
        <v>4</v>
      </c>
      <c r="AG15" s="309"/>
      <c r="AH15" s="201">
        <v>170</v>
      </c>
    </row>
    <row r="16" spans="1:34" x14ac:dyDescent="0.15">
      <c r="A16" s="310"/>
      <c r="B16" s="306"/>
      <c r="C16" s="198">
        <v>3</v>
      </c>
      <c r="D16" s="307" t="s">
        <v>5</v>
      </c>
      <c r="E16" s="309"/>
      <c r="F16" s="200">
        <v>110</v>
      </c>
      <c r="H16" s="310"/>
      <c r="I16" s="306"/>
      <c r="J16" s="198">
        <v>3</v>
      </c>
      <c r="K16" s="307" t="s">
        <v>5</v>
      </c>
      <c r="L16" s="309"/>
      <c r="M16" s="200">
        <v>140</v>
      </c>
      <c r="O16" s="310"/>
      <c r="P16" s="306"/>
      <c r="Q16" s="198">
        <v>3</v>
      </c>
      <c r="R16" s="307" t="s">
        <v>5</v>
      </c>
      <c r="S16" s="309"/>
      <c r="T16" s="200">
        <v>100</v>
      </c>
      <c r="V16" s="310"/>
      <c r="W16" s="306"/>
      <c r="X16" s="198">
        <v>3</v>
      </c>
      <c r="Y16" s="307" t="s">
        <v>5</v>
      </c>
      <c r="Z16" s="309"/>
      <c r="AA16" s="200">
        <v>100</v>
      </c>
      <c r="AC16" s="310"/>
      <c r="AD16" s="306"/>
      <c r="AE16" s="198">
        <v>3</v>
      </c>
      <c r="AF16" s="307" t="s">
        <v>5</v>
      </c>
      <c r="AG16" s="309"/>
      <c r="AH16" s="201">
        <v>140</v>
      </c>
    </row>
    <row r="17" spans="1:34" x14ac:dyDescent="0.15">
      <c r="A17" s="310"/>
      <c r="B17" s="306" t="s">
        <v>6</v>
      </c>
      <c r="C17" s="198">
        <v>1</v>
      </c>
      <c r="D17" s="307" t="s">
        <v>3</v>
      </c>
      <c r="E17" s="309"/>
      <c r="F17" s="200">
        <v>7390</v>
      </c>
      <c r="H17" s="310"/>
      <c r="I17" s="306" t="s">
        <v>6</v>
      </c>
      <c r="J17" s="198">
        <v>1</v>
      </c>
      <c r="K17" s="307" t="s">
        <v>3</v>
      </c>
      <c r="L17" s="309"/>
      <c r="M17" s="200">
        <v>6320</v>
      </c>
      <c r="O17" s="310"/>
      <c r="P17" s="306" t="s">
        <v>6</v>
      </c>
      <c r="Q17" s="198">
        <v>1</v>
      </c>
      <c r="R17" s="307" t="s">
        <v>3</v>
      </c>
      <c r="S17" s="309"/>
      <c r="T17" s="200">
        <v>6380</v>
      </c>
      <c r="V17" s="310"/>
      <c r="W17" s="306" t="s">
        <v>6</v>
      </c>
      <c r="X17" s="198">
        <v>1</v>
      </c>
      <c r="Y17" s="307" t="s">
        <v>3</v>
      </c>
      <c r="Z17" s="309"/>
      <c r="AA17" s="200">
        <v>6330</v>
      </c>
      <c r="AC17" s="310"/>
      <c r="AD17" s="306" t="s">
        <v>6</v>
      </c>
      <c r="AE17" s="198">
        <v>1</v>
      </c>
      <c r="AF17" s="307" t="s">
        <v>3</v>
      </c>
      <c r="AG17" s="309"/>
      <c r="AH17" s="201">
        <v>5230</v>
      </c>
    </row>
    <row r="18" spans="1:34" x14ac:dyDescent="0.15">
      <c r="A18" s="310"/>
      <c r="B18" s="306"/>
      <c r="C18" s="198">
        <v>2</v>
      </c>
      <c r="D18" s="307" t="s">
        <v>4</v>
      </c>
      <c r="E18" s="309"/>
      <c r="F18" s="200">
        <v>6240</v>
      </c>
      <c r="H18" s="310"/>
      <c r="I18" s="306"/>
      <c r="J18" s="198">
        <v>2</v>
      </c>
      <c r="K18" s="307" t="s">
        <v>4</v>
      </c>
      <c r="L18" s="309"/>
      <c r="M18" s="200">
        <v>5330</v>
      </c>
      <c r="O18" s="310"/>
      <c r="P18" s="306"/>
      <c r="Q18" s="198">
        <v>2</v>
      </c>
      <c r="R18" s="307" t="s">
        <v>4</v>
      </c>
      <c r="S18" s="309"/>
      <c r="T18" s="200">
        <v>5380</v>
      </c>
      <c r="V18" s="310"/>
      <c r="W18" s="306"/>
      <c r="X18" s="198">
        <v>2</v>
      </c>
      <c r="Y18" s="307" t="s">
        <v>4</v>
      </c>
      <c r="Z18" s="309"/>
      <c r="AA18" s="200">
        <v>5350</v>
      </c>
      <c r="AC18" s="310"/>
      <c r="AD18" s="306"/>
      <c r="AE18" s="198">
        <v>2</v>
      </c>
      <c r="AF18" s="307" t="s">
        <v>4</v>
      </c>
      <c r="AG18" s="309"/>
      <c r="AH18" s="201">
        <v>4420</v>
      </c>
    </row>
    <row r="19" spans="1:34" x14ac:dyDescent="0.15">
      <c r="A19" s="310"/>
      <c r="B19" s="306"/>
      <c r="C19" s="198">
        <v>3</v>
      </c>
      <c r="D19" s="307" t="s">
        <v>5</v>
      </c>
      <c r="E19" s="309"/>
      <c r="F19" s="200">
        <v>5360</v>
      </c>
      <c r="H19" s="310"/>
      <c r="I19" s="306"/>
      <c r="J19" s="198">
        <v>3</v>
      </c>
      <c r="K19" s="307" t="s">
        <v>5</v>
      </c>
      <c r="L19" s="309"/>
      <c r="M19" s="200">
        <v>4580</v>
      </c>
      <c r="O19" s="310"/>
      <c r="P19" s="306"/>
      <c r="Q19" s="198">
        <v>3</v>
      </c>
      <c r="R19" s="307" t="s">
        <v>5</v>
      </c>
      <c r="S19" s="309"/>
      <c r="T19" s="200">
        <v>4620</v>
      </c>
      <c r="V19" s="310"/>
      <c r="W19" s="306"/>
      <c r="X19" s="198">
        <v>3</v>
      </c>
      <c r="Y19" s="307" t="s">
        <v>5</v>
      </c>
      <c r="Z19" s="309"/>
      <c r="AA19" s="200">
        <v>4590</v>
      </c>
      <c r="AC19" s="310"/>
      <c r="AD19" s="306"/>
      <c r="AE19" s="198">
        <v>3</v>
      </c>
      <c r="AF19" s="307" t="s">
        <v>5</v>
      </c>
      <c r="AG19" s="309"/>
      <c r="AH19" s="201">
        <v>4740</v>
      </c>
    </row>
    <row r="20" spans="1:34" x14ac:dyDescent="0.15">
      <c r="A20" s="310" t="s">
        <v>9</v>
      </c>
      <c r="B20" s="306" t="s">
        <v>26</v>
      </c>
      <c r="C20" s="307" t="s">
        <v>2</v>
      </c>
      <c r="D20" s="308"/>
      <c r="E20" s="309"/>
      <c r="F20" s="201">
        <v>30</v>
      </c>
      <c r="H20" s="310" t="s">
        <v>9</v>
      </c>
      <c r="I20" s="306" t="s">
        <v>26</v>
      </c>
      <c r="J20" s="307" t="s">
        <v>2</v>
      </c>
      <c r="K20" s="308"/>
      <c r="L20" s="309"/>
      <c r="M20" s="201">
        <v>30</v>
      </c>
      <c r="O20" s="310" t="s">
        <v>9</v>
      </c>
      <c r="P20" s="306" t="s">
        <v>26</v>
      </c>
      <c r="Q20" s="307" t="s">
        <v>2</v>
      </c>
      <c r="R20" s="308"/>
      <c r="S20" s="309"/>
      <c r="T20" s="201">
        <v>30</v>
      </c>
      <c r="V20" s="310" t="s">
        <v>9</v>
      </c>
      <c r="W20" s="306" t="s">
        <v>26</v>
      </c>
      <c r="X20" s="307" t="s">
        <v>2</v>
      </c>
      <c r="Y20" s="308"/>
      <c r="Z20" s="309"/>
      <c r="AA20" s="201">
        <v>10</v>
      </c>
      <c r="AC20" s="310" t="s">
        <v>9</v>
      </c>
      <c r="AD20" s="306" t="s">
        <v>26</v>
      </c>
      <c r="AE20" s="307" t="s">
        <v>2</v>
      </c>
      <c r="AF20" s="308"/>
      <c r="AG20" s="309"/>
      <c r="AH20" s="201">
        <v>30</v>
      </c>
    </row>
    <row r="21" spans="1:34" x14ac:dyDescent="0.15">
      <c r="A21" s="310"/>
      <c r="B21" s="306"/>
      <c r="C21" s="307" t="s">
        <v>6</v>
      </c>
      <c r="D21" s="308"/>
      <c r="E21" s="309"/>
      <c r="F21" s="201">
        <v>2320</v>
      </c>
      <c r="H21" s="310"/>
      <c r="I21" s="306"/>
      <c r="J21" s="307" t="s">
        <v>6</v>
      </c>
      <c r="K21" s="308"/>
      <c r="L21" s="309"/>
      <c r="M21" s="201">
        <v>2300</v>
      </c>
      <c r="O21" s="310"/>
      <c r="P21" s="306"/>
      <c r="Q21" s="307" t="s">
        <v>6</v>
      </c>
      <c r="R21" s="308"/>
      <c r="S21" s="309"/>
      <c r="T21" s="201">
        <v>2200</v>
      </c>
      <c r="V21" s="310"/>
      <c r="W21" s="306"/>
      <c r="X21" s="307" t="s">
        <v>6</v>
      </c>
      <c r="Y21" s="308"/>
      <c r="Z21" s="309"/>
      <c r="AA21" s="201">
        <v>2210</v>
      </c>
      <c r="AC21" s="310"/>
      <c r="AD21" s="306"/>
      <c r="AE21" s="307" t="s">
        <v>6</v>
      </c>
      <c r="AF21" s="308"/>
      <c r="AG21" s="309"/>
      <c r="AH21" s="201">
        <v>2460</v>
      </c>
    </row>
    <row r="22" spans="1:34" ht="27" customHeight="1" x14ac:dyDescent="0.15">
      <c r="A22" s="310"/>
      <c r="B22" s="202" t="s">
        <v>10</v>
      </c>
      <c r="C22" s="311" t="s">
        <v>127</v>
      </c>
      <c r="D22" s="311"/>
      <c r="E22" s="311"/>
      <c r="F22" s="311"/>
      <c r="H22" s="310"/>
      <c r="I22" s="202" t="s">
        <v>10</v>
      </c>
      <c r="J22" s="311" t="s">
        <v>127</v>
      </c>
      <c r="K22" s="311"/>
      <c r="L22" s="311"/>
      <c r="M22" s="311"/>
      <c r="O22" s="310"/>
      <c r="P22" s="202" t="s">
        <v>10</v>
      </c>
      <c r="Q22" s="311" t="s">
        <v>127</v>
      </c>
      <c r="R22" s="311"/>
      <c r="S22" s="311"/>
      <c r="T22" s="311"/>
      <c r="V22" s="310"/>
      <c r="W22" s="202" t="s">
        <v>10</v>
      </c>
      <c r="X22" s="311" t="s">
        <v>127</v>
      </c>
      <c r="Y22" s="311"/>
      <c r="Z22" s="311"/>
      <c r="AA22" s="311"/>
      <c r="AC22" s="310"/>
      <c r="AD22" s="202" t="s">
        <v>10</v>
      </c>
      <c r="AE22" s="311" t="s">
        <v>127</v>
      </c>
      <c r="AF22" s="311"/>
      <c r="AG22" s="311"/>
      <c r="AH22" s="311"/>
    </row>
    <row r="23" spans="1:34" ht="27" x14ac:dyDescent="0.15">
      <c r="A23" s="310"/>
      <c r="B23" s="202" t="s">
        <v>11</v>
      </c>
      <c r="C23" s="310" t="s">
        <v>128</v>
      </c>
      <c r="D23" s="310"/>
      <c r="E23" s="310"/>
      <c r="F23" s="310"/>
      <c r="H23" s="310"/>
      <c r="I23" s="202" t="s">
        <v>11</v>
      </c>
      <c r="J23" s="310" t="s">
        <v>128</v>
      </c>
      <c r="K23" s="310"/>
      <c r="L23" s="310"/>
      <c r="M23" s="310"/>
      <c r="O23" s="310"/>
      <c r="P23" s="202" t="s">
        <v>11</v>
      </c>
      <c r="Q23" s="310" t="s">
        <v>128</v>
      </c>
      <c r="R23" s="310"/>
      <c r="S23" s="310"/>
      <c r="T23" s="310"/>
      <c r="V23" s="310"/>
      <c r="W23" s="202" t="s">
        <v>11</v>
      </c>
      <c r="X23" s="310" t="s">
        <v>128</v>
      </c>
      <c r="Y23" s="310"/>
      <c r="Z23" s="310"/>
      <c r="AA23" s="310"/>
      <c r="AC23" s="310"/>
      <c r="AD23" s="202" t="s">
        <v>11</v>
      </c>
      <c r="AE23" s="310" t="s">
        <v>128</v>
      </c>
      <c r="AF23" s="310"/>
      <c r="AG23" s="310"/>
      <c r="AH23" s="310"/>
    </row>
  </sheetData>
  <sheetProtection password="CA41" sheet="1" objects="1" scenarios="1"/>
  <mergeCells count="159">
    <mergeCell ref="O1:S1"/>
    <mergeCell ref="V1:Z1"/>
    <mergeCell ref="AC1:AG1"/>
    <mergeCell ref="A13:E13"/>
    <mergeCell ref="H13:L13"/>
    <mergeCell ref="O13:S13"/>
    <mergeCell ref="V13:Z13"/>
    <mergeCell ref="AC13:AG13"/>
    <mergeCell ref="AE23:AH23"/>
    <mergeCell ref="AF16:AG16"/>
    <mergeCell ref="AF17:AG17"/>
    <mergeCell ref="AF18:AG18"/>
    <mergeCell ref="AF19:AG19"/>
    <mergeCell ref="AE20:AG20"/>
    <mergeCell ref="AE21:AG21"/>
    <mergeCell ref="I20:I21"/>
    <mergeCell ref="J22:M22"/>
    <mergeCell ref="H20:H23"/>
    <mergeCell ref="H14:H19"/>
    <mergeCell ref="I14:I16"/>
    <mergeCell ref="I17:I19"/>
    <mergeCell ref="J23:M23"/>
    <mergeCell ref="K14:L14"/>
    <mergeCell ref="K15:L15"/>
    <mergeCell ref="AD5:AD7"/>
    <mergeCell ref="O2:O7"/>
    <mergeCell ref="P2:P4"/>
    <mergeCell ref="P5:P7"/>
    <mergeCell ref="O8:O11"/>
    <mergeCell ref="P8:P9"/>
    <mergeCell ref="J10:M10"/>
    <mergeCell ref="J11:M11"/>
    <mergeCell ref="X11:AA11"/>
    <mergeCell ref="Y2:Z2"/>
    <mergeCell ref="Y3:Z3"/>
    <mergeCell ref="Y4:Z4"/>
    <mergeCell ref="Y5:Z5"/>
    <mergeCell ref="Y6:Z6"/>
    <mergeCell ref="Y7:Z7"/>
    <mergeCell ref="R2:S2"/>
    <mergeCell ref="R3:S3"/>
    <mergeCell ref="R4:S4"/>
    <mergeCell ref="R5:S5"/>
    <mergeCell ref="R6:S6"/>
    <mergeCell ref="V2:V7"/>
    <mergeCell ref="W2:W4"/>
    <mergeCell ref="AC2:AC7"/>
    <mergeCell ref="AD2:AD4"/>
    <mergeCell ref="H2:H7"/>
    <mergeCell ref="I2:I4"/>
    <mergeCell ref="I5:I7"/>
    <mergeCell ref="H8:H11"/>
    <mergeCell ref="I8:I9"/>
    <mergeCell ref="J9:L9"/>
    <mergeCell ref="A2:A7"/>
    <mergeCell ref="A20:A23"/>
    <mergeCell ref="B20:B21"/>
    <mergeCell ref="J20:L20"/>
    <mergeCell ref="J21:L21"/>
    <mergeCell ref="D18:E18"/>
    <mergeCell ref="D19:E19"/>
    <mergeCell ref="C20:E20"/>
    <mergeCell ref="C21:E21"/>
    <mergeCell ref="K16:L16"/>
    <mergeCell ref="K17:L17"/>
    <mergeCell ref="K18:L18"/>
    <mergeCell ref="K19:L19"/>
    <mergeCell ref="A14:A19"/>
    <mergeCell ref="B14:B16"/>
    <mergeCell ref="B17:B19"/>
    <mergeCell ref="A8:A11"/>
    <mergeCell ref="B8:B9"/>
    <mergeCell ref="AD17:AD19"/>
    <mergeCell ref="X8:Z8"/>
    <mergeCell ref="X9:Z9"/>
    <mergeCell ref="AF15:AG15"/>
    <mergeCell ref="Y18:Z18"/>
    <mergeCell ref="Y19:Z19"/>
    <mergeCell ref="D14:E14"/>
    <mergeCell ref="D15:E15"/>
    <mergeCell ref="D16:E16"/>
    <mergeCell ref="D17:E17"/>
    <mergeCell ref="Q10:T10"/>
    <mergeCell ref="Q11:T11"/>
    <mergeCell ref="C10:F10"/>
    <mergeCell ref="C11:F11"/>
    <mergeCell ref="V8:V11"/>
    <mergeCell ref="W8:W9"/>
    <mergeCell ref="AC8:AC11"/>
    <mergeCell ref="AD8:AD9"/>
    <mergeCell ref="Q22:T22"/>
    <mergeCell ref="Q23:T23"/>
    <mergeCell ref="V14:V19"/>
    <mergeCell ref="W14:W16"/>
    <mergeCell ref="W17:W19"/>
    <mergeCell ref="V20:V23"/>
    <mergeCell ref="C23:F23"/>
    <mergeCell ref="X10:AA10"/>
    <mergeCell ref="AE10:AH10"/>
    <mergeCell ref="C22:F22"/>
    <mergeCell ref="O14:O19"/>
    <mergeCell ref="P14:P16"/>
    <mergeCell ref="P17:P19"/>
    <mergeCell ref="O20:O23"/>
    <mergeCell ref="P20:P21"/>
    <mergeCell ref="W20:W21"/>
    <mergeCell ref="X22:AA22"/>
    <mergeCell ref="X23:AA23"/>
    <mergeCell ref="Y14:Z14"/>
    <mergeCell ref="Y15:Z15"/>
    <mergeCell ref="Y16:Z16"/>
    <mergeCell ref="Y17:Z17"/>
    <mergeCell ref="AC14:AC19"/>
    <mergeCell ref="AD14:AD16"/>
    <mergeCell ref="AC20:AC23"/>
    <mergeCell ref="AD20:AD21"/>
    <mergeCell ref="AE22:AH22"/>
    <mergeCell ref="C8:E8"/>
    <mergeCell ref="H1:L1"/>
    <mergeCell ref="K2:L2"/>
    <mergeCell ref="K3:L3"/>
    <mergeCell ref="K4:L4"/>
    <mergeCell ref="K5:L5"/>
    <mergeCell ref="K6:L6"/>
    <mergeCell ref="K7:L7"/>
    <mergeCell ref="J8:L8"/>
    <mergeCell ref="A1:E1"/>
    <mergeCell ref="D2:E2"/>
    <mergeCell ref="D3:E3"/>
    <mergeCell ref="D4:E4"/>
    <mergeCell ref="D5:E5"/>
    <mergeCell ref="D6:E6"/>
    <mergeCell ref="D7:E7"/>
    <mergeCell ref="B2:B4"/>
    <mergeCell ref="B5:B7"/>
    <mergeCell ref="R7:S7"/>
    <mergeCell ref="Q8:S8"/>
    <mergeCell ref="Q9:S9"/>
    <mergeCell ref="AF7:AG7"/>
    <mergeCell ref="AE8:AG8"/>
    <mergeCell ref="AE9:AG9"/>
    <mergeCell ref="AF14:AG14"/>
    <mergeCell ref="AF2:AG2"/>
    <mergeCell ref="AF3:AG3"/>
    <mergeCell ref="AF4:AG4"/>
    <mergeCell ref="AF5:AG5"/>
    <mergeCell ref="AF6:AG6"/>
    <mergeCell ref="AE11:AH11"/>
    <mergeCell ref="W5:W7"/>
    <mergeCell ref="X20:Z20"/>
    <mergeCell ref="X21:Z21"/>
    <mergeCell ref="R14:S14"/>
    <mergeCell ref="R15:S15"/>
    <mergeCell ref="R16:S16"/>
    <mergeCell ref="R17:S17"/>
    <mergeCell ref="R18:S18"/>
    <mergeCell ref="R19:S19"/>
    <mergeCell ref="Q20:S20"/>
    <mergeCell ref="Q21:S21"/>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33</vt:i4>
      </vt:variant>
    </vt:vector>
  </HeadingPairs>
  <TitlesOfParts>
    <vt:vector size="37" baseType="lpstr">
      <vt:lpstr>使用上の注意点</vt:lpstr>
      <vt:lpstr>時間入力シート</vt:lpstr>
      <vt:lpstr>時刻入力シート</vt:lpstr>
      <vt:lpstr>公示運賃ｼｰﾄ</vt:lpstr>
      <vt:lpstr>使用上の注意点!Print_Area</vt:lpstr>
      <vt:lpstr>時間入力シート!Print_Area</vt:lpstr>
      <vt:lpstr>時刻入力シート!Print_Area</vt:lpstr>
      <vt:lpstr>沖縄</vt:lpstr>
      <vt:lpstr>沖縄K</vt:lpstr>
      <vt:lpstr>沖縄交</vt:lpstr>
      <vt:lpstr>関東</vt:lpstr>
      <vt:lpstr>関東K</vt:lpstr>
      <vt:lpstr>関東交</vt:lpstr>
      <vt:lpstr>近畿</vt:lpstr>
      <vt:lpstr>近畿K</vt:lpstr>
      <vt:lpstr>近畿交</vt:lpstr>
      <vt:lpstr>九州</vt:lpstr>
      <vt:lpstr>九州K</vt:lpstr>
      <vt:lpstr>九州交</vt:lpstr>
      <vt:lpstr>四国</vt:lpstr>
      <vt:lpstr>四国K</vt:lpstr>
      <vt:lpstr>四国交</vt:lpstr>
      <vt:lpstr>中国</vt:lpstr>
      <vt:lpstr>中国K</vt:lpstr>
      <vt:lpstr>中国交</vt:lpstr>
      <vt:lpstr>中部</vt:lpstr>
      <vt:lpstr>中部K</vt:lpstr>
      <vt:lpstr>中部交</vt:lpstr>
      <vt:lpstr>東北</vt:lpstr>
      <vt:lpstr>東北K</vt:lpstr>
      <vt:lpstr>東北交</vt:lpstr>
      <vt:lpstr>北海道</vt:lpstr>
      <vt:lpstr>北海道K</vt:lpstr>
      <vt:lpstr>北海道交</vt:lpstr>
      <vt:lpstr>北陸</vt:lpstr>
      <vt:lpstr>北陸K</vt:lpstr>
      <vt:lpstr>北陸交</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バス 協会</cp:lastModifiedBy>
  <cp:lastPrinted>2023-09-06T12:28:49Z</cp:lastPrinted>
  <dcterms:created xsi:type="dcterms:W3CDTF">2014-04-22T04:49:31Z</dcterms:created>
  <dcterms:modified xsi:type="dcterms:W3CDTF">2023-09-26T04:38:02Z</dcterms:modified>
</cp:coreProperties>
</file>